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5fceaf80349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Deal Setup" sheetId="1" r:id="Ree126a5401784da2"/>
    <x:sheet xmlns:r="http://schemas.openxmlformats.org/officeDocument/2006/relationships" name="02 Economics Capacity" sheetId="2" r:id="R6c7a1056d470446a"/>
    <x:sheet xmlns:r="http://schemas.openxmlformats.org/officeDocument/2006/relationships" name="03 Offer and SOW" sheetId="3" r:id="Rbe22d1c34df4491f"/>
    <x:sheet xmlns:r="http://schemas.openxmlformats.org/officeDocument/2006/relationships" name="04 Guide Assumptions" sheetId="4" r:id="R0296a87d03ef49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;[Red](#,##0);-"/>
    <x:numFmt numFmtId="201" formatCode="0.0%;[Red](0.0%);-"/>
    <x:numFmt numFmtId="202" formatCode="$#,##0;[Red]($#,##0);-"/>
    <x:numFmt numFmtId="203" formatCode="$0.00;[Red]($0.00);-"/>
    <x:numFmt numFmtId="204" formatCode="#,##0.0;[Red](#,##0.0);-"/>
    <x:numFmt numFmtId="205" formatCode="#,##0.0&quot; B&quot;;[Red](#,##0.0)&quot; B&quot;;-"/>
    <x:numFmt numFmtId="206" formatCode="@"/>
  </x:numFmts>
  <x:fonts count="26">
    <x:font>
      <x:sz val="11"/>
      <x:name val="Carlito"/>
    </x:font>
    <x:font>
      <x:sz val="11"/>
      <x:name val="Aptos"/>
    </x:font>
    <x:font>
      <x:sz val="10"/>
      <x:name val="Aptos"/>
    </x:font>
    <x:font>
      <x:sz val="10"/>
      <x:color rgb="FF242321"/>
      <x:name val="Aptos"/>
    </x:font>
    <x:font>
      <x:b/>
      <x:sz val="19"/>
      <x:color rgb="FFFFFFFF"/>
      <x:name val="Aptos"/>
    </x:font>
    <x:font>
      <x:sz val="10"/>
      <x:color rgb="FF6F6F6B"/>
      <x:name val="Aptos"/>
    </x:font>
    <x:font>
      <x:b/>
      <x:sz val="10"/>
      <x:color rgb="FFFFFFFF"/>
      <x:name val="Aptos"/>
    </x:font>
    <x:font>
      <x:sz val="10"/>
      <x:color rgb="FF1639BF"/>
      <x:name val="Aptos"/>
    </x:font>
    <x:font>
      <x:b/>
      <x:sz val="10"/>
      <x:color rgb="FF1639BF"/>
      <x:name val="Aptos"/>
    </x:font>
    <x:font>
      <x:sz val="10"/>
      <x:color rgb="FF167A51"/>
      <x:name val="Aptos"/>
    </x:font>
    <x:font>
      <x:sz val="9"/>
      <x:color rgb="FF6F6F6B"/>
      <x:name val="Aptos"/>
    </x:font>
    <x:font>
      <x:b/>
      <x:sz val="9"/>
      <x:color rgb="FFFFFFFF"/>
      <x:name val="Aptos"/>
    </x:font>
    <x:font>
      <x:sz val="9"/>
      <x:color rgb="FF242321"/>
      <x:name val="Aptos"/>
    </x:font>
    <x:font>
      <x:b/>
      <x:sz val="10"/>
      <x:color rgb="FF242321"/>
      <x:name val="Aptos"/>
    </x:font>
    <x:font>
      <x:b/>
      <x:sz val="12"/>
      <x:color rgb="FF167A51"/>
      <x:name val="Aptos"/>
    </x:font>
    <x:font>
      <x:b/>
      <x:sz val="11"/>
      <x:color rgb="FFFFFFFF"/>
      <x:name val="Carlito"/>
    </x:font>
    <x:font>
      <x:b/>
      <x:sz val="10"/>
      <x:color rgb="FF167A51"/>
      <x:name val="Aptos"/>
    </x:font>
    <x:font>
      <x:sz val="10"/>
      <x:color rgb="FFFFFFFF"/>
      <x:name val="Aptos"/>
    </x:font>
    <x:font>
      <x:sz val="10"/>
      <x:color rgb="FF171716"/>
      <x:name val="Aptos"/>
    </x:font>
    <x:font>
      <x:sz val="10"/>
      <x:color rgb="FF59544D"/>
      <x:name val="Aptos"/>
    </x:font>
    <x:font>
      <x:b/>
      <x:sz val="11"/>
      <x:color rgb="FFFFFFFF"/>
      <x:name val="Aptos"/>
    </x:font>
    <x:font>
      <x:b/>
      <x:sz val="10"/>
      <x:color rgb="FFFFFFFF"/>
      <x:name val="Carlito"/>
    </x:font>
    <x:font>
      <x:b/>
      <x:sz val="10"/>
      <x:color rgb="FF0000FF"/>
      <x:name val="Aptos"/>
    </x:font>
    <x:font>
      <x:b/>
      <x:sz val="10"/>
      <x:color rgb="FF008000"/>
      <x:name val="Aptos"/>
    </x:font>
    <x:font>
      <x:sz val="10"/>
      <x:color rgb="FF0000FF"/>
      <x:name val="Aptos"/>
    </x:font>
    <x:font>
      <x:b/>
      <x:sz val="10"/>
      <x:color rgb="FF171716"/>
      <x:name val="Aptos"/>
    </x:font>
  </x:fonts>
  <x:fills count="16">
    <x:fill>
      <x:patternFill patternType="none"/>
    </x:fill>
    <x:fill>
      <x:patternFill patternType="gray125"/>
    </x:fill>
    <x:fill>
      <x:patternFill patternType="solid">
        <x:fgColor rgb="FF171716"/>
      </x:patternFill>
    </x:fill>
    <x:fill>
      <x:patternFill patternType="solid">
        <x:fgColor rgb="FFFBFAF8"/>
      </x:patternFill>
    </x:fill>
    <x:fill>
      <x:patternFill patternType="solid">
        <x:fgColor rgb="FFFFF0E8"/>
      </x:patternFill>
    </x:fill>
    <x:fill>
      <x:patternFill patternType="solid">
        <x:fgColor rgb="FFF44B00"/>
      </x:patternFill>
    </x:fill>
    <x:fill>
      <x:patternFill patternType="solid">
        <x:fgColor rgb="FFF3F2EE"/>
      </x:patternFill>
    </x:fill>
    <x:fill>
      <x:patternFill patternType="solid">
        <x:fgColor rgb="FFFFF4C3"/>
      </x:patternFill>
    </x:fill>
    <x:fill>
      <x:patternFill patternType="solid">
        <x:fgColor rgb="FF171716"/>
      </x:patternFill>
    </x:fill>
    <x:fill>
      <x:patternFill patternType="solid">
        <x:fgColor rgb="FFFFF0E7"/>
      </x:patternFill>
    </x:fill>
    <x:fill>
      <x:patternFill patternType="solid">
        <x:fgColor rgb="FF171716"/>
      </x:patternFill>
    </x:fill>
    <x:fill>
      <x:patternFill patternType="solid">
        <x:fgColor rgb="FFF44B00"/>
      </x:patternFill>
    </x:fill>
    <x:fill>
      <x:patternFill patternType="solid">
        <x:fgColor rgb="FFFFF0E8"/>
      </x:patternFill>
    </x:fill>
    <x:fill>
      <x:patternFill patternType="solid">
        <x:fgColor rgb="FFF0F0F0"/>
      </x:patternFill>
    </x:fill>
    <x:fill>
      <x:patternFill patternType="solid">
        <x:fgColor rgb="FFFFF7F2"/>
      </x:patternFill>
    </x:fill>
    <x:fill>
      <x:patternFill patternType="solid">
        <x:fgColor rgb="FF171716"/>
      </x:patternFill>
    </x:fill>
  </x:fills>
  <x:borders count="2">
    <x:border/>
    <x:border/>
  </x:borders>
  <x:cellStyleXfs count="1">
    <x:xf numFmtId="0" fontId="0" fillId="0" borderId="0"/>
  </x:cellStyleXfs>
  <x:cellXfs count="21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/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/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7" fillId="4" borderId="0" xfId="0" applyNumberFormat="1" applyFont="1" applyFill="1" applyBorder="1"/>
    <x:xf numFmtId="0" fontId="7" fillId="4" borderId="1" xfId="0" applyNumberFormat="1" applyFont="1" applyFill="1" applyBorder="1"/>
    <x:xf numFmtId="0" fontId="8" fillId="4" borderId="0" xfId="0" applyNumberFormat="1" applyFont="1" applyFill="1" applyBorder="1"/>
    <x:xf numFmtId="0" fontId="8" fillId="4" borderId="1" xfId="0" applyNumberFormat="1" applyFont="1" applyFill="1" applyBorder="1"/>
    <x:xf numFmtId="200" fontId="8" fillId="4" borderId="0" xfId="0" applyNumberFormat="1" applyFont="1" applyFill="1" applyBorder="1"/>
    <x:xf numFmtId="200" fontId="8" fillId="4" borderId="1" xfId="0" applyNumberFormat="1" applyFont="1" applyFill="1" applyBorder="1"/>
    <x:xf numFmtId="201" fontId="8" fillId="4" borderId="0" xfId="0" applyNumberFormat="1" applyFont="1" applyFill="1" applyBorder="1"/>
    <x:xf numFmtId="201" fontId="8" fillId="4" borderId="1" xfId="0" applyNumberFormat="1" applyFont="1" applyFill="1" applyBorder="1"/>
    <x:xf numFmtId="202" fontId="8" fillId="4" borderId="0" xfId="0" applyNumberFormat="1" applyFont="1" applyFill="1" applyBorder="1"/>
    <x:xf numFmtId="202" fontId="8" fillId="4" borderId="1" xfId="0" applyNumberFormat="1" applyFont="1" applyFill="1" applyBorder="1"/>
    <x:xf numFmtId="203" fontId="8" fillId="4" borderId="0" xfId="0" applyNumberFormat="1" applyFont="1" applyFill="1" applyBorder="1"/>
    <x:xf numFmtId="203" fontId="8" fillId="4" borderId="1" xfId="0" applyNumberFormat="1" applyFont="1" applyFill="1" applyBorder="1"/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200" fontId="9" fillId="0" borderId="0" xfId="0" applyNumberFormat="1" applyFont="1" applyFill="1" applyBorder="1"/>
    <x:xf numFmtId="200" fontId="9" fillId="0" borderId="1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8" fillId="4" borderId="0" xfId="0" applyNumberFormat="1" applyFont="1" applyFill="1" applyBorder="1" applyAlignment="1">
      <x:alignment wrapText="0"/>
    </x:xf>
    <x:xf numFmtId="0" fontId="5" fillId="0" borderId="0" xfId="0" applyNumberFormat="1" applyFont="1" applyFill="1" applyBorder="1" applyAlignment="1">
      <x:alignment wrapText="0"/>
    </x:xf>
    <x:xf numFmtId="200" fontId="8" fillId="4" borderId="0" xfId="0" applyNumberFormat="1" applyFont="1" applyFill="1" applyBorder="1" applyAlignment="1">
      <x:alignment wrapText="0"/>
    </x:xf>
    <x:xf numFmtId="201" fontId="8" fillId="4" borderId="0" xfId="0" applyNumberFormat="1" applyFont="1" applyFill="1" applyBorder="1" applyAlignment="1">
      <x:alignment wrapText="0"/>
    </x:xf>
    <x:xf numFmtId="200" fontId="9" fillId="0" borderId="0" xfId="0" applyNumberFormat="1" applyFont="1" applyFill="1" applyBorder="1" applyAlignment="1">
      <x:alignment wrapText="0"/>
    </x:xf>
    <x:xf numFmtId="202" fontId="8" fillId="4" borderId="0" xfId="0" applyNumberFormat="1" applyFont="1" applyFill="1" applyBorder="1" applyAlignment="1">
      <x:alignment wrapText="0"/>
    </x:xf>
    <x:xf numFmtId="0" fontId="6" fillId="2" borderId="0" xfId="0" applyNumberFormat="1" applyFont="1" applyFill="1" applyBorder="1" applyAlignment="1">
      <x:alignment vertical="center" wrapText="0"/>
    </x:xf>
    <x:xf numFmtId="203" fontId="8" fillId="4" borderId="0" xfId="0" applyNumberFormat="1" applyFont="1" applyFill="1" applyBorder="1" applyAlignment="1">
      <x:alignment wrapText="0"/>
    </x:xf>
    <x:xf numFmtId="0" fontId="3" fillId="0" borderId="1" xfId="0" applyNumberFormat="1" applyFont="1" applyFill="1" applyBorder="1" applyAlignment="1">
      <x:alignment wrapText="0"/>
    </x:xf>
    <x:xf numFmtId="0" fontId="8" fillId="4" borderId="1" xfId="0" applyNumberFormat="1" applyFont="1" applyFill="1" applyBorder="1" applyAlignment="1">
      <x:alignment wrapText="0"/>
    </x:xf>
    <x:xf numFmtId="0" fontId="5" fillId="0" borderId="1" xfId="0" applyNumberFormat="1" applyFont="1" applyFill="1" applyBorder="1" applyAlignment="1">
      <x:alignment wrapText="0"/>
    </x:xf>
    <x:xf numFmtId="200" fontId="8" fillId="4" borderId="1" xfId="0" applyNumberFormat="1" applyFont="1" applyFill="1" applyBorder="1" applyAlignment="1">
      <x:alignment wrapText="0"/>
    </x:xf>
    <x:xf numFmtId="201" fontId="8" fillId="4" borderId="1" xfId="0" applyNumberFormat="1" applyFont="1" applyFill="1" applyBorder="1" applyAlignment="1">
      <x:alignment wrapText="0"/>
    </x:xf>
    <x:xf numFmtId="200" fontId="9" fillId="0" borderId="1" xfId="0" applyNumberFormat="1" applyFont="1" applyFill="1" applyBorder="1" applyAlignment="1">
      <x:alignment wrapText="0"/>
    </x:xf>
    <x:xf numFmtId="202" fontId="8" fillId="4" borderId="1" xfId="0" applyNumberFormat="1" applyFont="1" applyFill="1" applyBorder="1" applyAlignment="1">
      <x:alignment wrapText="0"/>
    </x:xf>
    <x:xf numFmtId="0" fontId="6" fillId="2" borderId="1" xfId="0" applyNumberFormat="1" applyFont="1" applyFill="1" applyBorder="1" applyAlignment="1">
      <x:alignment vertical="center" wrapText="0"/>
    </x:xf>
    <x:xf numFmtId="203" fontId="8" fillId="4" borderId="1" xfId="0" applyNumberFormat="1" applyFont="1" applyFill="1" applyBorder="1" applyAlignment="1">
      <x:alignment wrapText="0"/>
    </x:xf>
    <x:xf numFmtId="0" fontId="10" fillId="0" borderId="0" xfId="0" applyNumberFormat="1" applyFont="1" applyFill="1" applyBorder="1" applyAlignment="1">
      <x:alignment wrapText="0"/>
    </x:xf>
    <x:xf numFmtId="0" fontId="11" fillId="2" borderId="0" xfId="0" applyNumberFormat="1" applyFont="1" applyFill="1" applyBorder="1" applyAlignment="1">
      <x:alignment vertical="center" wrapText="0"/>
    </x:xf>
    <x:xf numFmtId="0" fontId="12" fillId="0" borderId="0" xfId="0" applyNumberFormat="1" applyFont="1" applyFill="1" applyBorder="1" applyAlignment="1">
      <x:alignment wrapText="0"/>
    </x:xf>
    <x:xf numFmtId="0" fontId="10" fillId="0" borderId="1" xfId="0" applyNumberFormat="1" applyFont="1" applyFill="1" applyBorder="1" applyAlignment="1">
      <x:alignment wrapText="0"/>
    </x:xf>
    <x:xf numFmtId="0" fontId="11" fillId="2" borderId="1" xfId="0" applyNumberFormat="1" applyFont="1" applyFill="1" applyBorder="1" applyAlignment="1">
      <x:alignment vertical="center" wrapText="0"/>
    </x:xf>
    <x:xf numFmtId="0" fontId="12" fillId="0" borderId="1" xfId="0" applyNumberFormat="1" applyFont="1" applyFill="1" applyBorder="1" applyAlignment="1">
      <x:alignment wrapText="0"/>
    </x:xf>
    <x:xf numFmtId="0" fontId="3" fillId="5" borderId="0" xfId="0" applyNumberFormat="1" applyFont="1" applyFill="1" applyBorder="1"/>
    <x:xf numFmtId="0" fontId="6" fillId="5" borderId="0" xfId="0" applyNumberFormat="1" applyFont="1" applyFill="1" applyBorder="1"/>
    <x:xf numFmtId="0" fontId="3" fillId="5" borderId="1" xfId="0" applyNumberFormat="1" applyFont="1" applyFill="1" applyBorder="1"/>
    <x:xf numFmtId="0" fontId="6" fillId="5" borderId="1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wrapText="1"/>
    </x:xf>
    <x:xf numFmtId="202" fontId="3" fillId="0" borderId="0" xfId="0" applyNumberFormat="1" applyFont="1" applyFill="1" applyBorder="1"/>
    <x:xf numFmtId="202" fontId="3" fillId="0" borderId="1" xfId="0" applyNumberFormat="1" applyFont="1" applyFill="1" applyBorder="1"/>
    <x:xf numFmtId="201" fontId="3" fillId="0" borderId="0" xfId="0" applyNumberFormat="1" applyFont="1" applyFill="1" applyBorder="1"/>
    <x:xf numFmtId="201" fontId="3" fillId="0" borderId="1" xfId="0" applyNumberFormat="1" applyFont="1" applyFill="1" applyBorder="1"/>
    <x:xf numFmtId="200" fontId="3" fillId="0" borderId="0" xfId="0" applyNumberFormat="1" applyFont="1" applyFill="1" applyBorder="1"/>
    <x:xf numFmtId="200" fontId="3" fillId="0" borderId="1" xfId="0" applyNumberFormat="1" applyFont="1" applyFill="1" applyBorder="1"/>
    <x:xf numFmtId="0" fontId="13" fillId="0" borderId="0" xfId="0" applyNumberFormat="1" applyFont="1" applyFill="1" applyBorder="1"/>
    <x:xf numFmtId="0" fontId="13" fillId="0" borderId="1" xfId="0" applyNumberFormat="1" applyFont="1" applyFill="1" applyBorder="1"/>
    <x:xf numFmtId="202" fontId="3" fillId="6" borderId="0" xfId="0" applyNumberFormat="1" applyFont="1" applyFill="1" applyBorder="1"/>
    <x:xf numFmtId="201" fontId="3" fillId="6" borderId="0" xfId="0" applyNumberFormat="1" applyFont="1" applyFill="1" applyBorder="1"/>
    <x:xf numFmtId="200" fontId="3" fillId="6" borderId="0" xfId="0" applyNumberFormat="1" applyFont="1" applyFill="1" applyBorder="1"/>
    <x:xf numFmtId="0" fontId="3" fillId="6" borderId="0" xfId="0" applyNumberFormat="1" applyFont="1" applyFill="1" applyBorder="1"/>
    <x:xf numFmtId="202" fontId="14" fillId="6" borderId="0" xfId="0" applyNumberFormat="1" applyFont="1" applyFill="1" applyBorder="1"/>
    <x:xf numFmtId="201" fontId="14" fillId="6" borderId="0" xfId="0" applyNumberFormat="1" applyFont="1" applyFill="1" applyBorder="1"/>
    <x:xf numFmtId="200" fontId="14" fillId="6" borderId="0" xfId="0" applyNumberFormat="1" applyFont="1" applyFill="1" applyBorder="1"/>
    <x:xf numFmtId="0" fontId="14" fillId="6" borderId="0" xfId="0" applyNumberFormat="1" applyFont="1" applyFill="1" applyBorder="1"/>
    <x:xf numFmtId="202" fontId="3" fillId="6" borderId="1" xfId="0" applyNumberFormat="1" applyFont="1" applyFill="1" applyBorder="1"/>
    <x:xf numFmtId="201" fontId="3" fillId="6" borderId="1" xfId="0" applyNumberFormat="1" applyFont="1" applyFill="1" applyBorder="1"/>
    <x:xf numFmtId="200" fontId="3" fillId="6" borderId="1" xfId="0" applyNumberFormat="1" applyFont="1" applyFill="1" applyBorder="1"/>
    <x:xf numFmtId="0" fontId="3" fillId="6" borderId="1" xfId="0" applyNumberFormat="1" applyFont="1" applyFill="1" applyBorder="1"/>
    <x:xf numFmtId="202" fontId="14" fillId="6" borderId="1" xfId="0" applyNumberFormat="1" applyFont="1" applyFill="1" applyBorder="1"/>
    <x:xf numFmtId="201" fontId="14" fillId="6" borderId="1" xfId="0" applyNumberFormat="1" applyFont="1" applyFill="1" applyBorder="1"/>
    <x:xf numFmtId="200" fontId="14" fillId="6" borderId="1" xfId="0" applyNumberFormat="1" applyFont="1" applyFill="1" applyBorder="1"/>
    <x:xf numFmtId="0" fontId="14" fillId="6" borderId="1" xfId="0" applyNumberFormat="1" applyFont="1" applyFill="1" applyBorder="1"/>
    <x:xf numFmtId="0" fontId="3" fillId="7" borderId="0" xfId="0" applyNumberFormat="1" applyFont="1" applyFill="1" applyBorder="1"/>
    <x:xf numFmtId="202" fontId="3" fillId="7" borderId="0" xfId="0" applyNumberFormat="1" applyFont="1" applyFill="1" applyBorder="1"/>
    <x:xf numFmtId="0" fontId="3" fillId="7" borderId="1" xfId="0" applyNumberFormat="1" applyFont="1" applyFill="1" applyBorder="1"/>
    <x:xf numFmtId="202" fontId="3" fillId="7" borderId="1" xfId="0" applyNumberFormat="1" applyFont="1" applyFill="1" applyBorder="1"/>
    <x:xf numFmtId="204" fontId="9" fillId="0" borderId="0" xfId="0" applyNumberFormat="1" applyFont="1" applyFill="1" applyBorder="1"/>
    <x:xf numFmtId="204" fontId="9" fillId="0" borderId="1" xfId="0" applyNumberFormat="1" applyFont="1" applyFill="1" applyBorder="1"/>
    <x:xf numFmtId="0" fontId="0" fillId="5" borderId="0" xfId="0" applyNumberFormat="1" applyFont="1" applyFill="1" applyBorder="1"/>
    <x:xf numFmtId="0" fontId="15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15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15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15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4" fontId="3" fillId="0" borderId="0" xfId="0" applyNumberFormat="1" applyFont="1" applyFill="1" applyBorder="1"/>
    <x:xf numFmtId="204" fontId="3" fillId="6" borderId="0" xfId="0" applyNumberFormat="1" applyFont="1" applyFill="1" applyBorder="1"/>
    <x:xf numFmtId="204" fontId="3" fillId="0" borderId="1" xfId="0" applyNumberFormat="1" applyFont="1" applyFill="1" applyBorder="1"/>
    <x:xf numFmtId="204" fontId="3" fillId="6" borderId="1" xfId="0" applyNumberFormat="1" applyFont="1" applyFill="1" applyBorder="1"/>
    <x:xf numFmtId="204" fontId="0" fillId="0" borderId="0" xfId="0" applyNumberFormat="1" applyFont="1" applyFill="1" applyBorder="1"/>
    <x:xf numFmtId="204" fontId="0" fillId="6" borderId="0" xfId="0" applyNumberFormat="1" applyFont="1" applyFill="1" applyBorder="1"/>
    <x:xf numFmtId="204" fontId="0" fillId="0" borderId="1" xfId="0" applyNumberFormat="1" applyFont="1" applyFill="1" applyBorder="1"/>
    <x:xf numFmtId="204" fontId="0" fillId="6" borderId="1" xfId="0" applyNumberFormat="1" applyFont="1" applyFill="1" applyBorder="1"/>
    <x:xf numFmtId="202" fontId="9" fillId="0" borderId="0" xfId="0" applyNumberFormat="1" applyFont="1" applyFill="1" applyBorder="1"/>
    <x:xf numFmtId="202" fontId="9" fillId="0" borderId="1" xfId="0" applyNumberFormat="1" applyFont="1" applyFill="1" applyBorder="1"/>
    <x:xf numFmtId="201" fontId="9" fillId="0" borderId="0" xfId="0" applyNumberFormat="1" applyFont="1" applyFill="1" applyBorder="1"/>
    <x:xf numFmtId="201" fontId="9" fillId="0" borderId="1" xfId="0" applyNumberFormat="1" applyFont="1" applyFill="1" applyBorder="1"/>
    <x:xf numFmtId="204" fontId="9" fillId="4" borderId="0" xfId="0" applyNumberFormat="1" applyFont="1" applyFill="1" applyBorder="1"/>
    <x:xf numFmtId="204" fontId="9" fillId="4" borderId="1" xfId="0" applyNumberFormat="1" applyFont="1" applyFill="1" applyBorder="1"/>
    <x:xf numFmtId="0" fontId="13" fillId="4" borderId="0" xfId="0" applyNumberFormat="1" applyFont="1" applyFill="1" applyBorder="1"/>
    <x:xf numFmtId="204" fontId="16" fillId="4" borderId="0" xfId="0" applyNumberFormat="1" applyFont="1" applyFill="1" applyBorder="1"/>
    <x:xf numFmtId="0" fontId="13" fillId="4" borderId="1" xfId="0" applyNumberFormat="1" applyFont="1" applyFill="1" applyBorder="1"/>
    <x:xf numFmtId="204" fontId="16" fillId="4" borderId="1" xfId="0" applyNumberFormat="1" applyFont="1" applyFill="1" applyBorder="1"/>
    <x:xf numFmtId="200" fontId="9" fillId="4" borderId="0" xfId="0" applyNumberFormat="1" applyFont="1" applyFill="1" applyBorder="1"/>
    <x:xf numFmtId="200" fontId="9" fillId="4" borderId="1" xfId="0" applyNumberFormat="1" applyFont="1" applyFill="1" applyBorder="1"/>
    <x:xf numFmtId="200" fontId="16" fillId="4" borderId="0" xfId="0" applyNumberFormat="1" applyFont="1" applyFill="1" applyBorder="1"/>
    <x:xf numFmtId="200" fontId="16" fillId="4" borderId="1" xfId="0" applyNumberFormat="1" applyFont="1" applyFill="1" applyBorder="1"/>
    <x:xf numFmtId="202" fontId="9" fillId="4" borderId="0" xfId="0" applyNumberFormat="1" applyFont="1" applyFill="1" applyBorder="1"/>
    <x:xf numFmtId="202" fontId="9" fillId="4" borderId="1" xfId="0" applyNumberFormat="1" applyFont="1" applyFill="1" applyBorder="1"/>
    <x:xf numFmtId="202" fontId="16" fillId="4" borderId="0" xfId="0" applyNumberFormat="1" applyFont="1" applyFill="1" applyBorder="1"/>
    <x:xf numFmtId="202" fontId="16" fillId="4" borderId="1" xfId="0" applyNumberFormat="1" applyFont="1" applyFill="1" applyBorder="1"/>
    <x:xf numFmtId="0" fontId="9" fillId="4" borderId="0" xfId="0" applyNumberFormat="1" applyFont="1" applyFill="1" applyBorder="1"/>
    <x:xf numFmtId="0" fontId="9" fillId="4" borderId="1" xfId="0" applyNumberFormat="1" applyFont="1" applyFill="1" applyBorder="1"/>
    <x:xf numFmtId="0" fontId="16" fillId="4" borderId="0" xfId="0" applyNumberFormat="1" applyFont="1" applyFill="1" applyBorder="1"/>
    <x:xf numFmtId="0" fontId="16" fillId="4" borderId="1" xfId="0" applyNumberFormat="1" applyFont="1" applyFill="1" applyBorder="1"/>
    <x:xf numFmtId="202" fontId="9" fillId="5" borderId="0" xfId="0" applyNumberFormat="1" applyFont="1" applyFill="1" applyBorder="1"/>
    <x:xf numFmtId="202" fontId="9" fillId="5" borderId="1" xfId="0" applyNumberFormat="1" applyFont="1" applyFill="1" applyBorder="1"/>
    <x:xf numFmtId="0" fontId="17" fillId="5" borderId="0" xfId="0" applyNumberFormat="1" applyFont="1" applyFill="1" applyBorder="1"/>
    <x:xf numFmtId="202" fontId="17" fillId="5" borderId="0" xfId="0" applyNumberFormat="1" applyFont="1" applyFill="1" applyBorder="1"/>
    <x:xf numFmtId="0" fontId="17" fillId="5" borderId="1" xfId="0" applyNumberFormat="1" applyFont="1" applyFill="1" applyBorder="1"/>
    <x:xf numFmtId="202" fontId="17" fillId="5" borderId="1" xfId="0" applyNumberFormat="1" applyFont="1" applyFill="1" applyBorder="1"/>
    <x:xf numFmtId="202" fontId="6" fillId="5" borderId="0" xfId="0" applyNumberFormat="1" applyFont="1" applyFill="1" applyBorder="1"/>
    <x:xf numFmtId="202" fontId="6" fillId="5" borderId="1" xfId="0" applyNumberFormat="1" applyFont="1" applyFill="1" applyBorder="1"/>
    <x:xf numFmtId="201" fontId="9" fillId="4" borderId="0" xfId="0" applyNumberFormat="1" applyFont="1" applyFill="1" applyBorder="1"/>
    <x:xf numFmtId="201" fontId="9" fillId="4" borderId="1" xfId="0" applyNumberFormat="1" applyFont="1" applyFill="1" applyBorder="1"/>
    <x:xf numFmtId="201" fontId="16" fillId="4" borderId="0" xfId="0" applyNumberFormat="1" applyFont="1" applyFill="1" applyBorder="1"/>
    <x:xf numFmtId="201" fontId="16" fillId="4" borderId="1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3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13" fillId="7" borderId="0" xfId="0" applyNumberFormat="1" applyFont="1" applyFill="1" applyBorder="1"/>
    <x:xf numFmtId="0" fontId="13" fillId="7" borderId="0" xfId="0" applyNumberFormat="1" applyFont="1" applyFill="1" applyBorder="1" applyAlignment="1">
      <x:alignment wrapText="1"/>
    </x:xf>
    <x:xf numFmtId="0" fontId="13" fillId="7" borderId="0" xfId="0" applyNumberFormat="1" applyFont="1" applyFill="1" applyBorder="1" applyAlignment="1">
      <x:alignment vertical="center" wrapText="1"/>
    </x:xf>
    <x:xf numFmtId="0" fontId="13" fillId="7" borderId="1" xfId="0" applyNumberFormat="1" applyFont="1" applyFill="1" applyBorder="1"/>
    <x:xf numFmtId="0" fontId="13" fillId="7" borderId="1" xfId="0" applyNumberFormat="1" applyFont="1" applyFill="1" applyBorder="1" applyAlignment="1">
      <x:alignment wrapText="1"/>
    </x:xf>
    <x:xf numFmtId="0" fontId="13" fillId="7" borderId="1" xfId="0" applyNumberFormat="1" applyFont="1" applyFill="1" applyBorder="1" applyAlignment="1">
      <x:alignment vertical="center" wrapText="1"/>
    </x:xf>
    <x:xf numFmtId="202" fontId="3" fillId="2" borderId="0" xfId="0" applyNumberFormat="1" applyFont="1" applyFill="1" applyBorder="1"/>
    <x:xf numFmtId="202" fontId="6" fillId="2" borderId="0" xfId="0" applyNumberFormat="1" applyFont="1" applyFill="1" applyBorder="1"/>
    <x:xf numFmtId="202" fontId="3" fillId="2" borderId="1" xfId="0" applyNumberFormat="1" applyFont="1" applyFill="1" applyBorder="1"/>
    <x:xf numFmtId="202" fontId="6" fillId="2" borderId="1" xfId="0" applyNumberFormat="1" applyFont="1" applyFill="1" applyBorder="1"/>
    <x:xf numFmtId="0" fontId="13" fillId="6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wrapText="1"/>
    </x:xf>
    <x:xf numFmtId="0" fontId="13" fillId="6" borderId="1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vertical="center" wrapText="1"/>
    </x:xf>
    <x:xf numFmtId="0" fontId="3" fillId="7" borderId="1" xfId="0" applyNumberFormat="1" applyFont="1" applyFill="1" applyBorder="1" applyAlignment="1">
      <x:alignment wrapText="1"/>
    </x:xf>
    <x:xf numFmtId="0" fontId="3" fillId="7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4" fillId="8" borderId="0" xfId="0" applyNumberFormat="1" applyFont="1" applyFill="1" applyBorder="1" applyAlignment="1">
      <x:alignment vertical="center"/>
    </x:xf>
    <x:xf numFmtId="0" fontId="5" fillId="9" borderId="0" xfId="0" applyNumberFormat="1" applyFont="1" applyFill="1" applyBorder="1" applyAlignment="1">
      <x:alignment vertical="center"/>
    </x:xf>
    <x:xf numFmtId="0" fontId="18" fillId="9" borderId="0" xfId="0" applyNumberFormat="1" applyFont="1" applyFill="1" applyBorder="1" applyAlignment="1">
      <x:alignment vertical="center"/>
    </x:xf>
    <x:xf numFmtId="0" fontId="19" fillId="0" borderId="0" xfId="0" applyNumberFormat="1" applyFont="1" applyFill="1" applyBorder="1"/>
    <x:xf numFmtId="0" fontId="3" fillId="10" borderId="0" xfId="0" applyNumberFormat="1" applyFont="1" applyFill="1" applyBorder="1"/>
    <x:xf numFmtId="0" fontId="0" fillId="10" borderId="0" xfId="0" applyNumberFormat="1" applyFont="1" applyFill="1" applyBorder="1"/>
    <x:xf numFmtId="0" fontId="20" fillId="10" borderId="0" xfId="0" applyNumberFormat="1" applyFont="1" applyFill="1" applyBorder="1"/>
    <x:xf numFmtId="0" fontId="15" fillId="10" borderId="0" xfId="0" applyNumberFormat="1" applyFont="1" applyFill="1" applyBorder="1"/>
    <x:xf numFmtId="0" fontId="3" fillId="11" borderId="0" xfId="0" applyNumberFormat="1" applyFont="1" applyFill="1" applyBorder="1"/>
    <x:xf numFmtId="0" fontId="0" fillId="11" borderId="0" xfId="0" applyNumberFormat="1" applyFont="1" applyFill="1" applyBorder="1"/>
    <x:xf numFmtId="0" fontId="6" fillId="11" borderId="0" xfId="0" applyNumberFormat="1" applyFont="1" applyFill="1" applyBorder="1"/>
    <x:xf numFmtId="0" fontId="21" fillId="11" borderId="0" xfId="0" applyNumberFormat="1" applyFont="1" applyFill="1" applyBorder="1"/>
    <x:xf numFmtId="205" fontId="3" fillId="0" borderId="0" xfId="0" applyNumberFormat="1" applyFont="1" applyFill="1" applyBorder="1"/>
    <x:xf numFmtId="200" fontId="8" fillId="12" borderId="0" xfId="0" applyNumberFormat="1" applyFont="1" applyFill="1" applyBorder="1" applyAlignment="1">
      <x:alignment wrapText="0"/>
    </x:xf>
    <x:xf numFmtId="200" fontId="22" fillId="12" borderId="0" xfId="0" applyNumberFormat="1" applyFont="1" applyFill="1" applyBorder="1" applyAlignment="1">
      <x:alignment wrapText="0"/>
    </x:xf>
    <x:xf numFmtId="0" fontId="8" fillId="13" borderId="0" xfId="0" applyNumberFormat="1" applyFont="1" applyFill="1" applyBorder="1" applyAlignment="1">
      <x:alignment wrapText="0"/>
    </x:xf>
    <x:xf numFmtId="0" fontId="23" fillId="13" borderId="0" xfId="0" applyNumberFormat="1" applyFont="1" applyFill="1" applyBorder="1" applyAlignment="1">
      <x:alignment wrapText="0"/>
    </x:xf>
    <x:xf numFmtId="0" fontId="3" fillId="12" borderId="0" xfId="0" applyNumberFormat="1" applyFont="1" applyFill="1" applyBorder="1"/>
    <x:xf numFmtId="0" fontId="24" fillId="12" borderId="0" xfId="0" applyNumberFormat="1" applyFont="1" applyFill="1" applyBorder="1"/>
    <x:xf numFmtId="0" fontId="6" fillId="10" borderId="0" xfId="0" applyNumberFormat="1" applyFont="1" applyFill="1" applyBorder="1"/>
    <x:xf numFmtId="0" fontId="3" fillId="14" borderId="0" xfId="0" applyNumberFormat="1" applyFont="1" applyFill="1" applyBorder="1"/>
    <x:xf numFmtId="0" fontId="25" fillId="14" borderId="0" xfId="0" applyNumberFormat="1" applyFont="1" applyFill="1" applyBorder="1"/>
    <x:xf numFmtId="206" fontId="22" fillId="12" borderId="0" xfId="0" applyNumberFormat="1" applyFont="1" applyFill="1" applyBorder="1" applyAlignment="1">
      <x:alignment wrapText="0"/>
    </x:xf>
    <x:xf numFmtId="0" fontId="0" fillId="2" borderId="0" xfId="0" applyNumberFormat="1" applyFont="1" applyFill="1" applyBorder="1"/>
    <x:xf numFmtId="0" fontId="20" fillId="2" borderId="0" xfId="0" applyNumberFormat="1" applyFont="1" applyFill="1" applyBorder="1"/>
    <x:xf numFmtId="0" fontId="15" fillId="2" borderId="0" xfId="0" applyNumberFormat="1" applyFont="1" applyFill="1" applyBorder="1"/>
    <x:xf numFmtId="0" fontId="21" fillId="5" borderId="0" xfId="0" applyNumberFormat="1" applyFont="1" applyFill="1" applyBorder="1"/>
    <x:xf numFmtId="200" fontId="22" fillId="4" borderId="0" xfId="0" applyNumberFormat="1" applyFont="1" applyFill="1" applyBorder="1" applyAlignment="1">
      <x:alignment wrapText="0"/>
    </x:xf>
    <x:xf numFmtId="0" fontId="24" fillId="4" borderId="0" xfId="0" applyNumberFormat="1" applyFont="1" applyFill="1" applyBorder="1"/>
    <x:xf numFmtId="206" fontId="22" fillId="4" borderId="0" xfId="0" applyNumberFormat="1" applyFont="1" applyFill="1" applyBorder="1" applyAlignment="1">
      <x:alignment wrapText="0"/>
    </x:xf>
    <x:xf numFmtId="0" fontId="3" fillId="15" borderId="0" xfId="0" applyNumberFormat="1" applyFont="1" applyFill="1" applyBorder="1"/>
    <x:xf numFmtId="0" fontId="17" fillId="15" borderId="0" xfId="0" applyNumberFormat="1" applyFont="1" applyFill="1" applyBorder="1"/>
    <x:xf numFmtId="0" fontId="6" fillId="15" borderId="0" xfId="0" applyNumberFormat="1" applyFont="1" applyFill="1" applyBorder="1"/>
  </x:cellXfs>
  <x:cellStyles count="1">
    <x:cellStyle name="Normal" xfId="0"/>
  </x:cellStyles>
  <x:dxfs count="1">
    <x:dxf>
      <x:font>
        <x:color rgb="FFB42318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f98488f084fcd" /><Relationship Type="http://schemas.openxmlformats.org/officeDocument/2006/relationships/theme" Target="/xl/theme/theme1.xml" Id="R019e0d05f1a94352" /><Relationship Type="http://schemas.openxmlformats.org/officeDocument/2006/relationships/sharedStrings" Target="/xl/sharedStrings.xml" Id="R7cfd34cb4b0944fa" /><Relationship Type="http://schemas.openxmlformats.org/officeDocument/2006/relationships/worksheet" Target="/xl/worksheets/sheet1.xml" Id="Ree126a5401784da2" /><Relationship Type="http://schemas.openxmlformats.org/officeDocument/2006/relationships/worksheet" Target="/xl/worksheets/sheet2.xml" Id="R6c7a1056d470446a" /><Relationship Type="http://schemas.openxmlformats.org/officeDocument/2006/relationships/worksheet" Target="/xl/worksheets/sheet3.xml" Id="Rbe22d1c34df4491f" /><Relationship Type="http://schemas.openxmlformats.org/officeDocument/2006/relationships/worksheet" Target="/xl/worksheets/sheet4.xml" Id="R0296a87d03ef49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7" hidden="0" customWidth="1"/>
    <x:col min="4" max="4" width="44" hidden="0" customWidth="1"/>
    <x:col min="5" max="5" width="3" hidden="0" customWidth="1"/>
    <x:col min="6" max="6" width="29" hidden="0" customWidth="1"/>
    <x:col min="7" max="7" width="43" hidden="0" customWidth="1"/>
    <x:col min="8" max="8" width="18" hidden="0" customWidth="1"/>
    <x:col min="9" max="9" width="23" hidden="0" customWidth="1"/>
    <x:col min="10" max="10" width="19" hidden="0" customWidth="1"/>
    <x:col min="11" max="11" width="19" hidden="0" customWidth="1"/>
    <x:col min="12" max="12" width="18" hidden="0" customWidth="1"/>
  </x:cols>
  <x:sheetData>
    <x:row r="1" ht="37" customHeight="1">
      <x:c r="A1" s="10" t="str">
        <x:v>DEAL CONFIGURATOR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</x:row>
    <x:row r="2" ht="27" customHeight="1">
      <x:c r="A2" s="16" t="str">
        <x:v>EDIT shaded inputs; selected model determines planning proxy, but do not issue quote until model/hardware/throughput gates clear.</x:v>
      </x:c>
      <x:c r="B2" s="16"/>
      <x:c r="C2" s="16"/>
      <x:c r="D2" s="16"/>
      <x:c r="E2" s="16"/>
      <x:c r="F2" s="16"/>
      <x:c r="G2" s="16"/>
      <x:c r="H2" s="16"/>
      <x:c r="I2" s="16"/>
      <x:c r="J2" s="16"/>
      <x:c r="K2" s="16"/>
      <x:c r="L2" s="16"/>
    </x:row>
    <x:row r="3" ht="20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</x:row>
    <x:row r="4" ht="24" customHeight="1">
      <x:c r="A4" s="21" t="str">
        <x:v>1   CUSTOMER, SCOPE &amp; APPROVAL</x:v>
      </x:c>
      <x:c r="B4" s="21"/>
      <x:c r="C4" s="21"/>
      <x:c r="D4" s="21"/>
      <x:c r="E4" s="6"/>
      <x:c r="F4" s="21" t="str">
        <x:v>LIVE DEAL OUTPUTS (AUTO-CALCULATED)</x:v>
      </x:c>
      <x:c r="G4" s="21"/>
      <x:c r="H4" s="21"/>
      <x:c r="I4" s="21"/>
      <x:c r="J4" s="21"/>
      <x:c r="K4" s="21"/>
      <x:c r="L4" s="6"/>
    </x:row>
    <x:row r="5" ht="20" customHeight="1">
      <x:c r="A5" s="44" t="str">
        <x:v>Customer</x:v>
      </x:c>
      <x:c r="B5" s="45" t="str">
        <x:v>Example Enterprise</x:v>
      </x:c>
      <x:c r="C5" s="46" t="str">
        <x:v>text</x:v>
      </x:c>
      <x:c r="D5" s="62" t="str">
        <x:v>Replace with customer legal/entity name.</x:v>
      </x:c>
      <x:c r="E5" s="6"/>
      <x:c r="F5" s="82" t="str">
        <x:v>Recommended quote</x:v>
      </x:c>
      <x:c r="G5" s="88" t="n">
        <x:f>'02 Economics Capacity'!B100</x:f>
        <x:v>210000</x:v>
      </x:c>
      <x:c r="H5" s="6"/>
      <x:c r="I5" s="6"/>
      <x:c r="J5" s="6"/>
      <x:c r="K5" s="6"/>
      <x:c r="L5" s="6"/>
    </x:row>
    <x:row r="6" ht="20" customHeight="1">
      <x:c r="A6" s="44" t="str">
        <x:v>Workflow / task</x:v>
      </x:c>
      <x:c r="B6" s="45" t="str">
        <x:v>Internal workflow automation</x:v>
      </x:c>
      <x:c r="C6" s="46" t="str">
        <x:v>text</x:v>
      </x:c>
      <x:c r="D6" s="62" t="str">
        <x:v>One defined use case; material changes require amendment.</x:v>
      </x:c>
      <x:c r="E6" s="6"/>
      <x:c r="F6" s="82" t="str">
        <x:v>Forecast delivery COGS</x:v>
      </x:c>
      <x:c r="G6" s="88" t="n">
        <x:f>'02 Economics Capacity'!B84</x:f>
        <x:v>106590</x:v>
      </x:c>
      <x:c r="H6" s="6"/>
      <x:c r="I6" s="6"/>
      <x:c r="J6" s="6"/>
      <x:c r="K6" s="6"/>
      <x:c r="L6" s="6"/>
    </x:row>
    <x:row r="7" ht="27" customHeight="1">
      <x:c r="A7" s="44" t="str">
        <x:v>Selected open-weight model</x:v>
      </x:c>
      <x:c r="B7" s="203" t="str">
        <x:v>Qwen3.6-35B-A3B</x:v>
      </x:c>
      <x:c r="C7" s="46" t="str">
        <x:v>model dropdown</x:v>
      </x:c>
      <x:c r="D7" s="62" t="str">
        <x:v>Named options from the supplied AC2 knowledge base. Training/serving eligibility may differ.</x:v>
      </x:c>
      <x:c r="E7" s="6"/>
      <x:c r="F7" s="82" t="str">
        <x:v>Target margin</x:v>
      </x:c>
      <x:c r="G7" s="89" t="n">
        <x:f>B76</x:f>
        <x:v>0.45</x:v>
      </x:c>
      <x:c r="H7" s="6"/>
      <x:c r="I7" s="6"/>
      <x:c r="J7" s="6"/>
      <x:c r="K7" s="6"/>
      <x:c r="L7" s="6"/>
    </x:row>
    <x:row r="8" ht="20" customHeight="1">
      <x:c r="A8" s="44" t="str">
        <x:v>Total model parameters (B)</x:v>
      </x:c>
      <x:c r="B8" s="197" t="n">
        <x:f>IFERROR(IF(VLOOKUP(B7,'04 Guide Assumptions'!$F$26:$Q$55,2,FALSE)=0,"Not verified",VLOOKUP(B7,'04 Guide Assumptions'!$F$26:$Q$55,2,FALSE)),"Not verified")</x:f>
        <x:v>35</x:v>
      </x:c>
      <x:c r="C8" s="46" t="str">
        <x:v>billion params</x:v>
      </x:c>
      <x:c r="D8" s="62" t="str">
        <x:v>Automatically populated; total model weights, not compute cost or active parameters.</x:v>
      </x:c>
      <x:c r="E8" s="6"/>
      <x:c r="F8" s="82" t="str">
        <x:v>Expected deal margin</x:v>
      </x:c>
      <x:c r="G8" s="89" t="n">
        <x:f>'02 Economics Capacity'!B101</x:f>
        <x:v>0.49242857142857144</x:v>
      </x:c>
      <x:c r="H8" s="6"/>
      <x:c r="I8" s="6"/>
      <x:c r="J8" s="6"/>
      <x:c r="K8" s="6"/>
      <x:c r="L8" s="6"/>
    </x:row>
    <x:row r="9" ht="20" customHeight="1">
      <x:c r="A9" s="44" t="str">
        <x:v>Training method</x:v>
      </x:c>
      <x:c r="B9" s="45" t="str">
        <x:v>GRPO</x:v>
      </x:c>
      <x:c r="C9" s="46" t="str">
        <x:v>▼ select</x:v>
      </x:c>
      <x:c r="D9" s="62" t="str">
        <x:v>Only GRPO uses current RL-loop cost logic; other methods trigger HOLD until re-costed.</x:v>
      </x:c>
      <x:c r="E9" s="6"/>
      <x:c r="F9" s="82" t="str">
        <x:v>Demand GPU-hours</x:v>
      </x:c>
      <x:c r="G9" s="90" t="n">
        <x:f>'02 Economics Capacity'!B21</x:f>
        <x:v>3360.000000000001</x:v>
      </x:c>
      <x:c r="H9" s="6"/>
      <x:c r="I9" s="6"/>
      <x:c r="J9" s="6"/>
      <x:c r="K9" s="6"/>
      <x:c r="L9" s="6"/>
    </x:row>
    <x:row r="10" ht="20" customHeight="1">
      <x:c r="A10" s="44" t="str">
        <x:v>Approved maximum RL cycles</x:v>
      </x:c>
      <x:c r="B10" s="47" t="n">
        <x:v>3</x:v>
      </x:c>
      <x:c r="C10" s="46" t="str">
        <x:v>cycles</x:v>
      </x:c>
      <x:c r="D10" s="62" t="str">
        <x:v>Contracted maximum; no unapproved experimentation.</x:v>
      </x:c>
      <x:c r="E10" s="6"/>
      <x:c r="F10" s="82" t="str">
        <x:v>Selected capacity method</x:v>
      </x:c>
      <x:c r="G10" s="91" t="str">
        <x:f>'02 Economics Capacity'!B62</x:f>
        <x:v>Existing</x:v>
      </x:c>
      <x:c r="H10" s="6"/>
      <x:c r="I10" s="6"/>
      <x:c r="J10" s="6"/>
      <x:c r="K10" s="6"/>
      <x:c r="L10" s="6"/>
    </x:row>
    <x:row r="11" ht="20" customHeight="1">
      <x:c r="A11" s="44" t="str">
        <x:v>Cadence</x:v>
      </x:c>
      <x:c r="B11" s="47" t="n">
        <x:v>1</x:v>
      </x:c>
      <x:c r="C11" s="46" t="str">
        <x:v>weeks per cycle</x:v>
      </x:c>
      <x:c r="D11" s="62" t="str">
        <x:v>One cycle every week by default; one cycle forecast in a week.</x:v>
      </x:c>
      <x:c r="E11" s="6"/>
      <x:c r="F11" s="82" t="str">
        <x:v>New GPUs at peak</x:v>
      </x:c>
      <x:c r="G11" s="91" t="n">
        <x:f>'02 Economics Capacity'!B55</x:f>
        <x:v>0</x:v>
      </x:c>
      <x:c r="H11" s="6"/>
      <x:c r="I11" s="6"/>
      <x:c r="J11" s="6"/>
      <x:c r="K11" s="6"/>
      <x:c r="L11" s="6"/>
    </x:row>
    <x:row r="12" ht="20" customHeight="1">
      <x:c r="A12" s="44" t="str">
        <x:v>Readiness period</x:v>
      </x:c>
      <x:c r="B12" s="47" t="n">
        <x:v>2</x:v>
      </x:c>
      <x:c r="C12" s="46" t="str">
        <x:v>weeks</x:v>
      </x:c>
      <x:c r="D12" s="62" t="str">
        <x:v>Time to baseline, prepare evals, approve grader.</x:v>
      </x:c>
      <x:c r="E12" s="6"/>
      <x:c r="F12" s="82" t="str">
        <x:v>Procurement commitment</x:v>
      </x:c>
      <x:c r="G12" s="88" t="n">
        <x:f>'02 Economics Capacity'!B63</x:f>
        <x:v>0</x:v>
      </x:c>
      <x:c r="H12" s="6"/>
      <x:c r="I12" s="6"/>
      <x:c r="J12" s="6"/>
      <x:c r="K12" s="6"/>
      <x:c r="L12" s="6"/>
    </x:row>
    <x:row r="13" ht="20" customHeight="1">
      <x:c r="A13" s="44" t="str">
        <x:v>Handoff period</x:v>
      </x:c>
      <x:c r="B13" s="47" t="n">
        <x:v>1</x:v>
      </x:c>
      <x:c r="C13" s="46" t="str">
        <x:v>weeks</x:v>
      </x:c>
      <x:c r="D13" s="62" t="str">
        <x:v>Final independent eval, checkpoint handoff and signoff.</x:v>
      </x:c>
      <x:c r="E13" s="6"/>
      <x:c r="F13" s="82" t="str">
        <x:v>Customer budget headroom</x:v>
      </x:c>
      <x:c r="G13" s="88" t="n">
        <x:f>'02 Economics Capacity'!B103</x:f>
        <x:v>50000</x:v>
      </x:c>
      <x:c r="H13" s="6"/>
      <x:c r="I13" s="6"/>
      <x:c r="J13" s="6"/>
      <x:c r="K13" s="6"/>
      <x:c r="L13" s="6"/>
    </x:row>
    <x:row r="14" ht="20" customHeight="1">
      <x:c r="A14" s="44" t="str">
        <x:v>RL jobs scheduled</x:v>
      </x:c>
      <x:c r="B14" s="45" t="str">
        <x:v>Sequential</x:v>
      </x:c>
      <x:c r="C14" s="46" t="str">
        <x:v>Sequential / Concurrent</x:v>
      </x:c>
      <x:c r="D14" s="62" t="str">
        <x:v>Sequential avoids overlap capacity; concurrent requires both fleets at once.</x:v>
      </x:c>
      <x:c r="E14" s="6"/>
      <x:c r="F14" s="6"/>
      <x:c r="G14" s="6"/>
      <x:c r="H14" s="6"/>
      <x:c r="I14" s="6"/>
      <x:c r="J14" s="6"/>
      <x:c r="K14" s="6"/>
      <x:c r="L14" s="6"/>
    </x:row>
    <x:row r="15" ht="24" customHeight="1">
      <x:c r="A15" s="44" t="str">
        <x:v>Success metric</x:v>
      </x:c>
      <x:c r="B15" s="45" t="str">
        <x:v>Held-out pass rate</x:v>
      </x:c>
      <x:c r="C15" s="46" t="str">
        <x:v>▼ select</x:v>
      </x:c>
      <x:c r="D15" s="62" t="str">
        <x:v>Only 0–1 scores with higher = better. Customer approves frozen eval and target.</x:v>
      </x:c>
      <x:c r="E15" s="6"/>
      <x:c r="F15" s="21" t="str">
        <x:v>DEAL READINESS / DECISION SIGNALS</x:v>
      </x:c>
      <x:c r="G15" s="21"/>
      <x:c r="H15" s="21"/>
      <x:c r="I15" s="21"/>
      <x:c r="J15" s="21"/>
      <x:c r="K15" s="21"/>
      <x:c r="L15" s="6"/>
    </x:row>
    <x:row r="16" ht="20" customHeight="1">
      <x:c r="A16" s="44" t="str">
        <x:v>Baseline score</x:v>
      </x:c>
      <x:c r="B16" s="48" t="n">
        <x:v>0.6</x:v>
      </x:c>
      <x:c r="C16" s="46" t="str">
        <x:v>%</x:v>
      </x:c>
      <x:c r="D16" s="62" t="str">
        <x:v>Illustrative pre-training score; use reproducible baseline.</x:v>
      </x:c>
      <x:c r="E16" s="6"/>
      <x:c r="F16" s="82" t="str">
        <x:v>Schedule / availability</x:v>
      </x:c>
      <x:c r="G16" s="100" t="str">
        <x:f>'02 Economics Capacity'!B70</x:f>
        <x:v>FEASIBLE*</x:v>
      </x:c>
      <x:c r="H16" s="100"/>
      <x:c r="I16" s="100"/>
      <x:c r="J16" s="6"/>
      <x:c r="K16" s="6"/>
      <x:c r="L16" s="6"/>
    </x:row>
    <x:row r="17" ht="20" customHeight="1">
      <x:c r="A17" s="44" t="str">
        <x:v>Target acceptance score</x:v>
      </x:c>
      <x:c r="B17" s="48" t="n">
        <x:v>0.8</x:v>
      </x:c>
      <x:c r="C17" s="46" t="str">
        <x:v>%</x:v>
      </x:c>
      <x:c r="D17" s="62" t="str">
        <x:v>Target for recommendation to stop, not guaranteed research outcome.</x:v>
      </x:c>
      <x:c r="E17" s="6"/>
      <x:c r="F17" s="82" t="str">
        <x:v>Price / budget</x:v>
      </x:c>
      <x:c r="G17" s="100" t="str">
        <x:f>'02 Economics Capacity'!B104</x:f>
        <x:v>HOLD - MODEL</x:v>
      </x:c>
      <x:c r="H17" s="100"/>
      <x:c r="I17" s="100"/>
      <x:c r="J17" s="6"/>
      <x:c r="K17" s="6"/>
      <x:c r="L17" s="6"/>
    </x:row>
    <x:row r="18" ht="20" customHeight="1">
      <x:c r="A18" s="44" t="str">
        <x:v>Minimum meaningful gain</x:v>
      </x:c>
      <x:c r="B18" s="48" t="n">
        <x:v>0.01</x:v>
      </x:c>
      <x:c r="C18" s="46" t="str">
        <x:v>absolute points</x:v>
      </x:c>
      <x:c r="D18" s="62" t="str">
        <x:v>Plateau threshold per cycle (1 pp = 0.01).</x:v>
      </x:c>
      <x:c r="E18" s="6"/>
      <x:c r="F18" s="82" t="str">
        <x:v>Suggested stop action</x:v>
      </x:c>
      <x:c r="G18" s="100" t="str">
        <x:f>IF(B21="Stop","STOP - CUSTOMER DECISION",IF(B20=0,"NO RESULTS YET",IF(INDEX(G37:G44,B20)&gt;=B17,"REVIEW - TARGET REACHED",IF(B20&gt;=B10,"REVIEW - CYCLE CAP",IF(AND(B20&gt;=B19,INDEX(H37:H44,B20)&lt;B18,INDEX(H37:H44,B20-1)&lt;B18),"REVIEW - PLATEAU","CONTINUE; CUSTOMER APPROVAL")))))</x:f>
        <x:v>NO RESULTS YET</x:v>
      </x:c>
      <x:c r="H18" s="100"/>
      <x:c r="I18" s="100"/>
      <x:c r="J18" s="6"/>
      <x:c r="K18" s="6"/>
      <x:c r="L18" s="6"/>
    </x:row>
    <x:row r="19" ht="20" customHeight="1">
      <x:c r="A19" s="44" t="str">
        <x:v>Consecutive slow cycles</x:v>
      </x:c>
      <x:c r="B19" s="47" t="n">
        <x:v>2</x:v>
      </x:c>
      <x:c r="C19" s="46" t="str">
        <x:v>cycles</x:v>
      </x:c>
      <x:c r="D19" s="62" t="str">
        <x:v>Review when 2 successive gains fall below threshold.</x:v>
      </x:c>
      <x:c r="E19" s="6"/>
      <x:c r="F19" s="82" t="str">
        <x:v>Production quote (if Yes)</x:v>
      </x:c>
      <x:c r="G19" s="101" t="str">
        <x:f>IF(B23="Yes",'02 Economics Capacity'!B124,"NOT IN SCOPE")</x:f>
        <x:v>NOT IN SCOPE</x:v>
      </x:c>
      <x:c r="H19" s="100"/>
      <x:c r="I19" s="100"/>
      <x:c r="J19" s="6"/>
      <x:c r="K19" s="6"/>
      <x:c r="L19" s="6"/>
    </x:row>
    <x:row r="20" ht="20" customHeight="1">
      <x:c r="A20" s="44" t="str">
        <x:v>Cycles with scores entered</x:v>
      </x:c>
      <x:c r="B20" s="49" t="n">
        <x:f>COUNT(G37:G44)</x:f>
        <x:v>0</x:v>
      </x:c>
      <x:c r="C20" s="46" t="str">
        <x:v>completed</x:v>
      </x:c>
      <x:c r="D20" s="62" t="str">
        <x:v>Score log right -&gt; automatically counts entered outcomes.</x:v>
      </x:c>
      <x:c r="E20" s="6"/>
      <x:c r="F20" s="6"/>
      <x:c r="G20" s="6"/>
      <x:c r="H20" s="6"/>
      <x:c r="I20" s="6"/>
      <x:c r="J20" s="6"/>
      <x:c r="K20" s="6"/>
      <x:c r="L20" s="6"/>
    </x:row>
    <x:row r="21" ht="20" customHeight="1">
      <x:c r="A21" s="44" t="str">
        <x:v>Customer continuation decision</x:v>
      </x:c>
      <x:c r="B21" s="45" t="str">
        <x:v>Pending</x:v>
      </x:c>
      <x:c r="C21" s="46" t="str">
        <x:v>Pending / Continue / Stop</x:v>
      </x:c>
      <x:c r="D21" s="62" t="str">
        <x:v>Customer is decision maker after each cycle; forecast is advisory.</x:v>
      </x:c>
      <x:c r="E21" s="6"/>
      <x:c r="F21" s="6"/>
      <x:c r="G21" s="6"/>
      <x:c r="H21" s="6"/>
      <x:c r="I21" s="6"/>
      <x:c r="J21" s="6"/>
      <x:c r="K21" s="6"/>
      <x:c r="L21" s="6"/>
    </x:row>
    <x:row r="22" ht="29" customHeight="1">
      <x:c r="A22" s="44" t="str">
        <x:v>Maximum deal approval budget</x:v>
      </x:c>
      <x:c r="B22" s="50" t="n">
        <x:v>260000</x:v>
      </x:c>
      <x:c r="C22" s="46" t="str">
        <x:v>$</x:v>
      </x:c>
      <x:c r="D22" s="62" t="str">
        <x:v>Signals when quote needs scope/budget change.</x:v>
      </x:c>
      <x:c r="E22" s="6"/>
      <x:c r="F22" s="200" t="str">
        <x:v>MODEL QUALIFICATION  |  REQUIRED BEFORE QUOTE</x:v>
      </x:c>
      <x:c r="G22" s="200"/>
      <x:c r="H22" s="6"/>
      <x:c r="I22" s="6"/>
      <x:c r="J22" s="6"/>
      <x:c r="K22" s="6"/>
      <x:c r="L22" s="6"/>
    </x:row>
    <x:row r="23" ht="20" customHeight="1">
      <x:c r="A23" s="44" t="str">
        <x:v>Include production proposal?</x:v>
      </x:c>
      <x:c r="B23" s="45" t="str">
        <x:v>No</x:v>
      </x:c>
      <x:c r="C23" s="46" t="str">
        <x:v>Yes / No</x:v>
      </x:c>
      <x:c r="D23" s="62" t="str">
        <x:v>Separate prospective monthly quote, not part of training value.</x:v>
      </x:c>
      <x:c r="E23" s="6"/>
      <x:c r="F23" s="202" t="str">
        <x:v>Active parameters (B)</x:v>
      </x:c>
      <x:c r="G23" s="6" t="n">
        <x:f>IFERROR(VLOOKUP($B$7,'04 Guide Assumptions'!$F$26:$Q$55,3,FALSE),"Not verified")</x:f>
        <x:v>3</x:v>
      </x:c>
      <x:c r="H23" s="6"/>
      <x:c r="I23" s="6"/>
      <x:c r="J23" s="6"/>
      <x:c r="K23" s="6"/>
      <x:c r="L23" s="6"/>
    </x:row>
    <x:row r="24" ht="20" customHeight="1">
      <x:c r="A24" s="44" t="str">
        <x:v>Serving contract type</x:v>
      </x:c>
      <x:c r="B24" s="45" t="str">
        <x:v>Dedicated</x:v>
      </x:c>
      <x:c r="C24" s="46" t="str">
        <x:v>Shared / Dedicated</x:v>
      </x:c>
      <x:c r="D24" s="62" t="str">
        <x:v>Shared usage minimum vs dedicated warm-replica subscription.</x:v>
      </x:c>
      <x:c r="E24" s="6"/>
      <x:c r="F24" s="202" t="str">
        <x:v>Architecture</x:v>
      </x:c>
      <x:c r="G24" s="6" t="str">
        <x:f>IFERROR(VLOOKUP($B$7,'04 Guide Assumptions'!$F$26:$Q$55,4,FALSE),"Not verified")</x:f>
        <x:v>MoE</x:v>
      </x:c>
      <x:c r="H24" s="6"/>
      <x:c r="I24" s="6"/>
      <x:c r="J24" s="6"/>
      <x:c r="K24" s="6"/>
      <x:c r="L24" s="6"/>
    </x:row>
    <x:row r="25" ht="20" customHeight="1">
      <x:c r="A25" s="44" t="str">
        <x:v>Monthly input tokens</x:v>
      </x:c>
      <x:c r="B25" s="47" t="n">
        <x:v>20000000</x:v>
      </x:c>
      <x:c r="C25" s="46" t="str">
        <x:v>tokens/month</x:v>
      </x:c>
      <x:c r="D25" s="62" t="str">
        <x:v>Forecast only; contract includes named allowances.</x:v>
      </x:c>
      <x:c r="E25" s="6"/>
      <x:c r="F25" s="202" t="str">
        <x:v>RL training status</x:v>
      </x:c>
      <x:c r="G25" s="6" t="str">
        <x:f>IFERROR(VLOOKUP($B$7,'04 Guide Assumptions'!$F$26:$Q$55,5,FALSE),"Not verified")</x:f>
        <x:v>Listed</x:v>
      </x:c>
      <x:c r="H25" s="6"/>
      <x:c r="I25" s="6"/>
      <x:c r="J25" s="6"/>
      <x:c r="K25" s="6"/>
      <x:c r="L25" s="6"/>
    </x:row>
    <x:row r="26" ht="20" customHeight="1">
      <x:c r="A26" s="44" t="str">
        <x:v>Monthly output tokens</x:v>
      </x:c>
      <x:c r="B26" s="47" t="n">
        <x:v>10000000</x:v>
      </x:c>
      <x:c r="C26" s="46" t="str">
        <x:v>tokens/month</x:v>
      </x:c>
      <x:c r="D26" s="62" t="str">
        <x:v>Outputs usually have higher serving cost.</x:v>
      </x:c>
      <x:c r="E26" s="6"/>
      <x:c r="F26" s="202" t="str">
        <x:v>Serving status</x:v>
      </x:c>
      <x:c r="G26" s="6" t="str">
        <x:f>IFERROR(VLOOKUP($B$7,'04 Guide Assumptions'!$F$26:$Q$55,6,FALSE),"Not verified")</x:f>
        <x:v>Listed</x:v>
      </x:c>
      <x:c r="H26" s="6"/>
      <x:c r="I26" s="6"/>
      <x:c r="J26" s="6"/>
      <x:c r="K26" s="6"/>
      <x:c r="L26" s="6"/>
    </x:row>
    <x:row r="27" ht="20" customHeight="1">
      <x:c r="A27" s="44" t="str">
        <x:v>Peak / average traffic</x:v>
      </x:c>
      <x:c r="B27" s="47" t="n">
        <x:v>3</x:v>
      </x:c>
      <x:c r="C27" s="46" t="str">
        <x:v>x</x:v>
      </x:c>
      <x:c r="D27" s="62" t="str">
        <x:v>Capacity planning proxy; benchmark peak latency before launch.</x:v>
      </x:c>
      <x:c r="E27" s="6"/>
      <x:c r="F27" s="202" t="str">
        <x:v>Catalog evidence</x:v>
      </x:c>
      <x:c r="G27" s="6" t="str">
        <x:f>IFERROR(VLOOKUP($B$7,'04 Guide Assumptions'!$F$26:$Q$55,7,FALSE),"Not verified")</x:f>
        <x:v>Model-named</x:v>
      </x:c>
      <x:c r="H27" s="6"/>
      <x:c r="I27" s="6"/>
      <x:c r="J27" s="6"/>
      <x:c r="K27" s="6"/>
      <x:c r="L27" s="6"/>
    </x:row>
    <x:row r="28" ht="20" customHeight="1">
      <x:c r="A28" s="44" t="str">
        <x:v>Minimum warm replicas</x:v>
      </x:c>
      <x:c r="B28" s="47" t="n">
        <x:v>2</x:v>
      </x:c>
      <x:c r="C28" s="46" t="str">
        <x:v>GPUs</x:v>
      </x:c>
      <x:c r="D28" s="62" t="str">
        <x:v>Latency / availability floor independent of token volume.</x:v>
      </x:c>
      <x:c r="E28" s="6"/>
      <x:c r="F28" s="202" t="str">
        <x:v>GPU class to confirm</x:v>
      </x:c>
      <x:c r="G28" s="6" t="str">
        <x:f>IFERROR(VLOOKUP($B$7,'04 Guide Assumptions'!$F$26:$Q$55,9,FALSE),"Not verified")</x:f>
        <x:v>Validate</x:v>
      </x:c>
      <x:c r="H28" s="6"/>
      <x:c r="I28" s="6"/>
      <x:c r="J28" s="6"/>
      <x:c r="K28" s="6"/>
      <x:c r="L28" s="6"/>
    </x:row>
    <x:row r="29" ht="28" customHeight="1">
      <x:c r="A29" s="44" t="str">
        <x:v>Availability target</x:v>
      </x:c>
      <x:c r="B29" s="48" t="n">
        <x:v>0.999</x:v>
      </x:c>
      <x:c r="C29" s="46" t="str">
        <x:v>%</x:v>
      </x:c>
      <x:c r="D29" s="62" t="str">
        <x:v>Planning assumption, not an SLA until service order signed.</x:v>
      </x:c>
      <x:c r="E29" s="6"/>
      <x:c r="F29" s="202" t="str">
        <x:v>Parameter source URL</x:v>
      </x:c>
      <x:c r="G29" s="72" t="str">
        <x:f>IFERROR(VLOOKUP($B$7,'04 Guide Assumptions'!$F$26:$Q$55,10,FALSE),"Not verified")</x:f>
        <x:v>https://huggingface.co/Qwen/Qwen3.6-35B-A3B</x:v>
      </x:c>
      <x:c r="H29" s="6"/>
      <x:c r="I29" s="6"/>
      <x:c r="J29" s="6"/>
      <x:c r="K29" s="6"/>
      <x:c r="L29" s="6"/>
    </x:row>
    <x:row r="30" ht="20" customHeight="1">
      <x:c r="A30" s="44" t="str">
        <x:v>Customer accountable owner</x:v>
      </x:c>
      <x:c r="B30" s="45" t="str">
        <x:v>Customer product / SME lead</x:v>
      </x:c>
      <x:c r="C30" s="46" t="str">
        <x:v>owner</x:v>
      </x:c>
      <x:c r="D30" s="62" t="str">
        <x:v>Owns base model, grader, continue/stop and acceptance decisions.</x:v>
      </x:c>
      <x:c r="E30" s="6"/>
      <x:c r="F30" s="202" t="str">
        <x:v>Model readiness</x:v>
      </x:c>
      <x:c r="G30" s="6" t="str">
        <x:f>IF($B$9&lt;&gt;"GRPO","HOLD - METHOD RE-SCOPE",IF(OR($B$33="Access pending",$B$33="Not available"),"HOLD - DATA ACCESS",IF(NOT(ISNUMBER($B$8)),"HOLD - PARAMETERS",IF($B$101&lt;&gt;"Yes","HOLD - BENCHMARK",IF($B$102&lt;&gt;"Yes","HOLD - ACCESS",IF($B$104&lt;&gt;"Yes","HOLD - SKU RATE",IF(AND($G$28="B300",$B$103&lt;&gt;"B300"),"HOLD - GPU FAMILY",IF(OR($G$25="Not listed",$G$25="Research only",$G$25="Legacy mention",$G$25="Family - verify",$G$25="Access required"),"HOLD - TRAINING ELIGIBILITY","QUALIFIED*"))))))))</x:f>
        <x:v>HOLD - BENCHMARK</x:v>
      </x:c>
      <x:c r="H30" s="6"/>
      <x:c r="I30" s="6"/>
      <x:c r="J30" s="6"/>
      <x:c r="K30" s="6"/>
      <x:c r="L30" s="6"/>
    </x:row>
    <x:row r="31" ht="20" customHeight="1">
      <x:c r="A31" s="44" t="str">
        <x:v>Applied Compute delivery owner</x:v>
      </x:c>
      <x:c r="B31" s="45" t="str">
        <x:v>AC engagement lead</x:v>
      </x:c>
      <x:c r="C31" s="46" t="str">
        <x:v>owner</x:v>
      </x:c>
      <x:c r="D31" s="62" t="str">
        <x:v>Builds, runs, measures, and recommends.</x:v>
      </x:c>
      <x:c r="E31" s="6"/>
      <x:c r="F31" s="202" t="str">
        <x:v>Planning proxy class</x:v>
      </x:c>
      <x:c r="G31" s="6" t="n">
        <x:f>IFERROR(VLOOKUP($B$7,'04 Guide Assumptions'!$F$26:$Q$55,8,FALSE),"Not verified")</x:f>
        <x:v>2</x:v>
      </x:c>
      <x:c r="H31" s="6"/>
      <x:c r="I31" s="6"/>
      <x:c r="J31" s="6"/>
      <x:c r="K31" s="6"/>
      <x:c r="L31" s="6"/>
    </x:row>
    <x:row r="32" ht="20" customHeight="1">
      <x:c r="A32" s="44" t="str">
        <x:v>Hosting region</x:v>
      </x:c>
      <x:c r="B32" s="45" t="str">
        <x:v>US region TBD</x:v>
      </x:c>
      <x:c r="C32" s="46" t="str">
        <x:v>region</x:v>
      </x:c>
      <x:c r="D32" s="62" t="str">
        <x:v>Data residency and supply feasibility must be confirmed.</x:v>
      </x:c>
      <x:c r="E32" s="6"/>
      <x:c r="F32" s="202" t="str">
        <x:v>Model suitability</x:v>
      </x:c>
      <x:c r="G32" s="6" t="str">
        <x:f>IF(OR($G$25="Not listed",$G$25="Research only",$G$25="Legacy mention"),"TRAINING NOT CONFIRMED",IF($G$25="Family - verify","VARIANT ACCESS CHECK",IF($B$8="Not verified","PARAMETERS NEED VERIFICATION",IF($G$28="Multi-node","MULTI-NODE REVIEW","PROVISIONAL ESTIMATE"))))</x:f>
        <x:v>PROVISIONAL ESTIMATE</x:v>
      </x:c>
      <x:c r="H32" s="6"/>
      <x:c r="I32" s="6"/>
      <x:c r="J32" s="6"/>
      <x:c r="K32" s="6"/>
      <x:c r="L32" s="6"/>
    </x:row>
    <x:row r="33" ht="24" customHeight="1">
      <x:c r="A33" s="44" t="str">
        <x:v>Data/access readiness</x:v>
      </x:c>
      <x:c r="B33" s="45" t="str">
        <x:v>Customer supplies by kickoff</x:v>
      </x:c>
      <x:c r="C33" s="46" t="str">
        <x:v>▼ select</x:v>
      </x:c>
      <x:c r="D33" s="62" t="str">
        <x:v>Ready / validated or by kickoff are allowed; pending/unavailable block approval.</x:v>
      </x:c>
      <x:c r="E33" s="6"/>
      <x:c r="F33" s="21" t="str">
        <x:v>OPTIONAL: ENTER ACTUAL HELD-OUT EVALS EACH CYCLE</x:v>
      </x:c>
      <x:c r="G33" s="21"/>
      <x:c r="H33" s="21"/>
      <x:c r="I33" s="21"/>
      <x:c r="J33" s="21"/>
      <x:c r="K33" s="21"/>
      <x:c r="L33" s="6"/>
    </x:row>
    <x:row r="34" ht="24" customHeight="1">
      <x:c r="A34" s="51" t="str">
        <x:v>2   DEMAND + GPU PERFORMANCE ASSUMPTIONS</x:v>
      </x:c>
      <x:c r="B34" s="51"/>
      <x:c r="C34" s="51"/>
      <x:c r="D34" s="63"/>
      <x:c r="E34" s="6"/>
      <x:c r="F34" s="6"/>
      <x:c r="G34" s="6"/>
      <x:c r="H34" s="6"/>
      <x:c r="I34" s="6"/>
      <x:c r="J34" s="6"/>
      <x:c r="K34" s="6"/>
      <x:c r="L34" s="6"/>
    </x:row>
    <x:row r="35" ht="20" customHeight="1">
      <x:c r="A35" s="44" t="str">
        <x:v>Policy-update tokens per cycle</x:v>
      </x:c>
      <x:c r="B35" s="47" t="n">
        <x:v>42666666.6666667</x:v>
      </x:c>
      <x:c r="C35" s="46" t="str">
        <x:v>tokens/cycle</x:v>
      </x:c>
      <x:c r="D35" s="62" t="str">
        <x:v>Training tokens; benchmark replaces heuristic.</x:v>
      </x:c>
      <x:c r="E35" s="6"/>
      <x:c r="F35" s="6"/>
      <x:c r="G35" s="6"/>
      <x:c r="H35" s="6"/>
      <x:c r="I35" s="6"/>
      <x:c r="J35" s="6"/>
      <x:c r="K35" s="6"/>
      <x:c r="L35" s="6"/>
    </x:row>
    <x:row r="36" ht="20" customHeight="1">
      <x:c r="A36" s="44" t="str">
        <x:v>Rollout attempts per cycle</x:v>
      </x:c>
      <x:c r="B36" s="47" t="n">
        <x:v>4000</x:v>
      </x:c>
      <x:c r="C36" s="46" t="str">
        <x:v>attempts/cycle</x:v>
      </x:c>
      <x:c r="D36" s="62" t="str">
        <x:v>Include retries, sampled traces and intended exploration.</x:v>
      </x:c>
      <x:c r="E36" s="6"/>
      <x:c r="F36" s="69" t="str">
        <x:v>Cycle #</x:v>
      </x:c>
      <x:c r="G36" s="69" t="str">
        <x:v>Actual score</x:v>
      </x:c>
      <x:c r="H36" s="69" t="str">
        <x:v>Gain vs prior</x:v>
      </x:c>
      <x:c r="I36" s="69" t="str">
        <x:v>Cycle status</x:v>
      </x:c>
      <x:c r="J36" s="6"/>
      <x:c r="K36" s="6"/>
      <x:c r="L36" s="6"/>
    </x:row>
    <x:row r="37" ht="20" customHeight="1">
      <x:c r="A37" s="44" t="str">
        <x:v>Mean rollout input tokens</x:v>
      </x:c>
      <x:c r="B37" s="47" t="n">
        <x:v>12000</x:v>
      </x:c>
      <x:c r="C37" s="46" t="str">
        <x:v>tokens/attempt</x:v>
      </x:c>
      <x:c r="D37" s="62" t="str">
        <x:v>Estimate from a representative agent trace sample.</x:v>
      </x:c>
      <x:c r="E37" s="6"/>
      <x:c r="F37" s="6" t="n">
        <x:v>1</x:v>
      </x:c>
      <x:c r="G37" s="34"/>
      <x:c r="H37" s="78" t="str">
        <x:f>IF(G37="","",G37-$B$16)</x:f>
      </x:c>
      <x:c r="I37" s="6" t="str">
        <x:f>IF(G37="","NOT RUN",IF(G37&gt;=$B$17,"TARGET HIT",IF(F37&gt;=$B$10,"BEYOND SCOPE","CHECK CONTINUE")))</x:f>
        <x:v>NOT RUN</x:v>
      </x:c>
      <x:c r="J37" s="6"/>
      <x:c r="K37" s="6"/>
      <x:c r="L37" s="6"/>
    </x:row>
    <x:row r="38" ht="20" customHeight="1">
      <x:c r="A38" s="44" t="str">
        <x:v>Mean rollout output tokens</x:v>
      </x:c>
      <x:c r="B38" s="47" t="n">
        <x:v>10000</x:v>
      </x:c>
      <x:c r="C38" s="46" t="str">
        <x:v>tokens/attempt</x:v>
      </x:c>
      <x:c r="D38" s="62" t="str">
        <x:v>Generation volume; avoid counting only successful rollouts.</x:v>
      </x:c>
      <x:c r="E38" s="6"/>
      <x:c r="F38" s="6" t="n">
        <x:v>2</x:v>
      </x:c>
      <x:c r="G38" s="34"/>
      <x:c r="H38" s="78" t="str">
        <x:f>IF(G38="","",IF(G37="","",G38-G37))</x:f>
      </x:c>
      <x:c r="I38" s="6" t="str">
        <x:f>IF(G38="","NOT RUN",IF(G38&gt;=$B$17,"TARGET HIT",IF(F38&gt;=$B$10,"BEYOND SCOPE","CHECK CONTINUE")))</x:f>
        <x:v>NOT RUN</x:v>
      </x:c>
      <x:c r="J38" s="6"/>
      <x:c r="K38" s="6"/>
      <x:c r="L38" s="6"/>
    </x:row>
    <x:row r="39" ht="20" customHeight="1">
      <x:c r="A39" s="44" t="str">
        <x:v>Input-token work factor</x:v>
      </x:c>
      <x:c r="B39" s="47" t="n">
        <x:v>0.5</x:v>
      </x:c>
      <x:c r="C39" s="46" t="str">
        <x:v>equivalent/token</x:v>
      </x:c>
      <x:c r="D39" s="62" t="str">
        <x:v>Simplified prefill weight relative to decode; benchmark required.</x:v>
      </x:c>
      <x:c r="E39" s="6"/>
      <x:c r="F39" s="6" t="n">
        <x:v>3</x:v>
      </x:c>
      <x:c r="G39" s="34"/>
      <x:c r="H39" s="78" t="str">
        <x:f>IF(G39="","",IF(G38="","",G39-G38))</x:f>
      </x:c>
      <x:c r="I39" s="6" t="str">
        <x:f>IF(G39="","NOT RUN",IF(G39&gt;=$B$17,"TARGET HIT",IF(F39&gt;=$B$10,"BEYOND SCOPE","CHECK CONTINUE")))</x:f>
        <x:v>NOT RUN</x:v>
      </x:c>
      <x:c r="J39" s="6"/>
      <x:c r="K39" s="6"/>
      <x:c r="L39" s="6"/>
    </x:row>
    <x:row r="40" ht="20" customHeight="1">
      <x:c r="A40" s="44" t="str">
        <x:v>Evaluation cases / cycle</x:v>
      </x:c>
      <x:c r="B40" s="47" t="n">
        <x:v>200</x:v>
      </x:c>
      <x:c r="C40" s="46" t="str">
        <x:v>cases/cycle</x:v>
      </x:c>
      <x:c r="D40" s="62" t="str">
        <x:v>Held-out evaluation repeated at each checkpoint.</x:v>
      </x:c>
      <x:c r="E40" s="6"/>
      <x:c r="F40" s="6" t="n">
        <x:v>4</x:v>
      </x:c>
      <x:c r="G40" s="34"/>
      <x:c r="H40" s="78" t="str">
        <x:f>IF(G40="","",IF(G39="","",G40-G39))</x:f>
      </x:c>
      <x:c r="I40" s="6" t="str">
        <x:f>IF(G40="","NOT RUN",IF(G40&gt;=$B$17,"TARGET HIT",IF(F40&gt;=$B$10,"BEYOND SCOPE","CHECK CONTINUE")))</x:f>
        <x:v>NOT RUN</x:v>
      </x:c>
      <x:c r="J40" s="6"/>
      <x:c r="K40" s="6"/>
      <x:c r="L40" s="6"/>
    </x:row>
    <x:row r="41" ht="20" customHeight="1">
      <x:c r="A41" s="44" t="str">
        <x:v>Baseline evaluation cases</x:v>
      </x:c>
      <x:c r="B41" s="47" t="n">
        <x:v>200</x:v>
      </x:c>
      <x:c r="C41" s="46" t="str">
        <x:v>cases</x:v>
      </x:c>
      <x:c r="D41" s="62" t="str">
        <x:v>Run before training; included in the evaluation budget.</x:v>
      </x:c>
      <x:c r="E41" s="6"/>
      <x:c r="F41" s="6" t="n">
        <x:v>5</x:v>
      </x:c>
      <x:c r="G41" s="34"/>
      <x:c r="H41" s="78" t="str">
        <x:f>IF(G41="","",IF(G40="","",G41-G40))</x:f>
      </x:c>
      <x:c r="I41" s="6" t="str">
        <x:f>IF(G41="","NOT RUN",IF(G41&gt;=$B$17,"TARGET HIT",IF(F41&gt;=$B$10,"BEYOND SCOPE","CHECK CONTINUE")))</x:f>
        <x:v>NOT RUN</x:v>
      </x:c>
      <x:c r="J41" s="6"/>
      <x:c r="K41" s="6"/>
      <x:c r="L41" s="6"/>
    </x:row>
    <x:row r="42" ht="20" customHeight="1">
      <x:c r="A42" s="44" t="str">
        <x:v>Work-equivalent tokens / eval</x:v>
      </x:c>
      <x:c r="B42" s="47" t="n">
        <x:v>20000</x:v>
      </x:c>
      <x:c r="C42" s="46" t="str">
        <x:v>tokens/case</x:v>
      </x:c>
      <x:c r="D42" s="62" t="str">
        <x:v>Simplified GPU work incl. judge inference; external graders separately.</x:v>
      </x:c>
      <x:c r="E42" s="6"/>
      <x:c r="F42" s="6" t="n">
        <x:v>6</x:v>
      </x:c>
      <x:c r="G42" s="34"/>
      <x:c r="H42" s="78" t="str">
        <x:f>IF(G42="","",IF(G41="","",G42-G41))</x:f>
      </x:c>
      <x:c r="I42" s="6" t="str">
        <x:f>IF(G42="","NOT RUN",IF(G42&gt;=$B$17,"TARGET HIT",IF(F42&gt;=$B$10,"BEYOND SCOPE","CHECK CONTINUE")))</x:f>
        <x:v>NOT RUN</x:v>
      </x:c>
      <x:c r="J42" s="6"/>
      <x:c r="K42" s="6"/>
      <x:c r="L42" s="6"/>
    </x:row>
    <x:row r="43" ht="20" customHeight="1">
      <x:c r="A43" s="44" t="str">
        <x:v>Policy throughput (standard)</x:v>
      </x:c>
      <x:c r="B43" s="47" t="n">
        <x:v>100000</x:v>
      </x:c>
      <x:c r="C43" s="46" t="str">
        <x:v>tokens/GPU-hour</x:v>
      </x:c>
      <x:c r="D43" s="62" t="str">
        <x:v>Unverified benchmark for 32B-class configuration.</x:v>
      </x:c>
      <x:c r="E43" s="6"/>
      <x:c r="F43" s="6" t="n">
        <x:v>7</x:v>
      </x:c>
      <x:c r="G43" s="34"/>
      <x:c r="H43" s="78" t="str">
        <x:f>IF(G43="","",IF(G42="","",G43-G42))</x:f>
      </x:c>
      <x:c r="I43" s="6" t="str">
        <x:f>IF(G43="","NOT RUN",IF(G43&gt;=$B$17,"TARGET HIT",IF(F43&gt;=$B$10,"BEYOND SCOPE","CHECK CONTINUE")))</x:f>
        <x:v>NOT RUN</x:v>
      </x:c>
      <x:c r="J43" s="6"/>
      <x:c r="K43" s="6"/>
      <x:c r="L43" s="6"/>
    </x:row>
    <x:row r="44" ht="20" customHeight="1">
      <x:c r="A44" s="44" t="str">
        <x:v>Rollout throughput (standard)</x:v>
      </x:c>
      <x:c r="B44" s="47" t="n">
        <x:v>100000</x:v>
      </x:c>
      <x:c r="C44" s="46" t="str">
        <x:v>equiv tokens/GPU-hour</x:v>
      </x:c>
      <x:c r="D44" s="62" t="str">
        <x:v>Unverified benchmark; input/output mix influences value.</x:v>
      </x:c>
      <x:c r="E44" s="6"/>
      <x:c r="F44" s="6" t="n">
        <x:v>8</x:v>
      </x:c>
      <x:c r="G44" s="34"/>
      <x:c r="H44" s="78" t="str">
        <x:f>IF(G44="","",IF(G43="","",G44-G43))</x:f>
      </x:c>
      <x:c r="I44" s="6" t="str">
        <x:f>IF(G44="","NOT RUN",IF(G44&gt;=$B$17,"TARGET HIT",IF(F44&gt;=$B$10,"BEYOND SCOPE","CHECK CONTINUE")))</x:f>
        <x:v>NOT RUN</x:v>
      </x:c>
      <x:c r="J44" s="6"/>
      <x:c r="K44" s="6"/>
      <x:c r="L44" s="6"/>
    </x:row>
    <x:row r="45" ht="20" customHeight="1">
      <x:c r="A45" s="44" t="str">
        <x:v>Eval throughput (standard)</x:v>
      </x:c>
      <x:c r="B45" s="47" t="n">
        <x:v>100000</x:v>
      </x:c>
      <x:c r="C45" s="46" t="str">
        <x:v>equiv tokens/GPU-hour</x:v>
      </x:c>
      <x:c r="D45" s="62" t="str">
        <x:v>Unverified benchmark; grader APIs budgeted separately.</x:v>
      </x:c>
      <x:c r="E45" s="6"/>
      <x:c r="F45" s="6"/>
      <x:c r="G45" s="6"/>
      <x:c r="H45" s="6"/>
      <x:c r="I45" s="6"/>
      <x:c r="J45" s="6"/>
      <x:c r="K45" s="6"/>
      <x:c r="L45" s="6"/>
    </x:row>
    <x:row r="46" ht="35" customHeight="1">
      <x:c r="A46" s="44" t="str">
        <x:v>Policy GPUs (standard)</x:v>
      </x:c>
      <x:c r="B46" s="47" t="n">
        <x:v>8</x:v>
      </x:c>
      <x:c r="C46" s="46" t="str">
        <x:v>GPUs</x:v>
      </x:c>
      <x:c r="D46" s="62" t="str">
        <x:v>Illustrative 32B distributed training job size.</x:v>
      </x:c>
      <x:c r="E46" s="6"/>
      <x:c r="F46" s="6" t="str">
        <x:v>Stop rule</x:v>
      </x:c>
      <x:c r="G46" s="72" t="str">
        <x:v>Target OR plateau OR cycle cap. Customer must approve the actual stop/continue decision.</x:v>
      </x:c>
      <x:c r="H46" s="72"/>
      <x:c r="I46" s="72"/>
      <x:c r="J46" s="72"/>
      <x:c r="K46" s="72"/>
      <x:c r="L46" s="6"/>
    </x:row>
    <x:row r="47" ht="20" customHeight="1">
      <x:c r="A47" s="44" t="str">
        <x:v>Rollout GPUs (standard)</x:v>
      </x:c>
      <x:c r="B47" s="47" t="n">
        <x:v>8</x:v>
      </x:c>
      <x:c r="C47" s="46" t="str">
        <x:v>GPUs</x:v>
      </x:c>
      <x:c r="D47" s="62" t="str">
        <x:v>Illustrative 32B rollout fleet size.</x:v>
      </x:c>
      <x:c r="E47" s="6"/>
      <x:c r="F47" s="6"/>
      <x:c r="G47" s="6"/>
      <x:c r="H47" s="6"/>
      <x:c r="I47" s="6"/>
      <x:c r="J47" s="6"/>
      <x:c r="K47" s="6"/>
      <x:c r="L47" s="6"/>
    </x:row>
    <x:row r="48" ht="20" customHeight="1">
      <x:c r="A48" s="44" t="str">
        <x:v>Evaluation GPUs (standard)</x:v>
      </x:c>
      <x:c r="B48" s="47" t="n">
        <x:v>4</x:v>
      </x:c>
      <x:c r="C48" s="46" t="str">
        <x:v>GPUs</x:v>
      </x:c>
      <x:c r="D48" s="62" t="str">
        <x:v>Illustrative GPU group for held-out eval.</x:v>
      </x:c>
      <x:c r="E48" s="6"/>
      <x:c r="F48" s="6"/>
      <x:c r="G48" s="6"/>
      <x:c r="H48" s="6"/>
      <x:c r="I48" s="6"/>
      <x:c r="J48" s="6"/>
      <x:c r="K48" s="6"/>
      <x:c r="L48" s="6"/>
    </x:row>
    <x:row r="49" ht="24" customHeight="1">
      <x:c r="A49" s="51" t="str">
        <x:v>3   DIRECT DELIVERY COST ASSUMPTIONS</x:v>
      </x:c>
      <x:c r="B49" s="51"/>
      <x:c r="C49" s="51"/>
      <x:c r="D49" s="63"/>
      <x:c r="E49" s="6"/>
      <x:c r="F49" s="6"/>
      <x:c r="G49" s="6"/>
      <x:c r="H49" s="6"/>
      <x:c r="I49" s="6"/>
      <x:c r="J49" s="6"/>
      <x:c r="K49" s="6"/>
      <x:c r="L49" s="6"/>
    </x:row>
    <x:row r="50" ht="20" customHeight="1">
      <x:c r="A50" s="44" t="str">
        <x:v>FDE setup hours</x:v>
      </x:c>
      <x:c r="B50" s="47" t="n">
        <x:v>40</x:v>
      </x:c>
      <x:c r="C50" s="46" t="str">
        <x:v>hours</x:v>
      </x:c>
      <x:c r="D50" s="62" t="str">
        <x:v>One-off integration, workflow and harness scoping.</x:v>
      </x:c>
      <x:c r="E50" s="6"/>
      <x:c r="F50" s="6"/>
      <x:c r="G50" s="6"/>
      <x:c r="H50" s="6"/>
      <x:c r="I50" s="6"/>
      <x:c r="J50" s="6"/>
      <x:c r="K50" s="6"/>
      <x:c r="L50" s="6"/>
    </x:row>
    <x:row r="51" ht="20" customHeight="1">
      <x:c r="A51" s="44" t="str">
        <x:v>FDE hours per cycle</x:v>
      </x:c>
      <x:c r="B51" s="47" t="n">
        <x:v>40</x:v>
      </x:c>
      <x:c r="C51" s="46" t="str">
        <x:v>hours/cycle</x:v>
      </x:c>
      <x:c r="D51" s="62" t="str">
        <x:v>Direct delivery load scales with approved loops.</x:v>
      </x:c>
      <x:c r="E51" s="6"/>
      <x:c r="F51" s="6"/>
      <x:c r="G51" s="6"/>
      <x:c r="H51" s="6"/>
      <x:c r="I51" s="6"/>
      <x:c r="J51" s="6"/>
      <x:c r="K51" s="6"/>
      <x:c r="L51" s="6"/>
    </x:row>
    <x:row r="52" ht="20" customHeight="1">
      <x:c r="A52" s="44" t="str">
        <x:v>FDE loaded cost</x:v>
      </x:c>
      <x:c r="B52" s="50" t="n">
        <x:v>180</x:v>
      </x:c>
      <x:c r="C52" s="46" t="str">
        <x:v>$/hour</x:v>
      </x:c>
      <x:c r="D52" s="62" t="str">
        <x:v>Illustrative loaded labor cost, not customer sell rate.</x:v>
      </x:c>
      <x:c r="E52" s="6"/>
      <x:c r="F52" s="6"/>
      <x:c r="G52" s="6"/>
      <x:c r="H52" s="6"/>
      <x:c r="I52" s="6"/>
      <x:c r="J52" s="6"/>
      <x:c r="K52" s="6"/>
      <x:c r="L52" s="6"/>
    </x:row>
    <x:row r="53" ht="20" customHeight="1">
      <x:c r="A53" s="44" t="str">
        <x:v>Research setup hours</x:v>
      </x:c>
      <x:c r="B53" s="47" t="n">
        <x:v>40</x:v>
      </x:c>
      <x:c r="C53" s="46" t="str">
        <x:v>hours</x:v>
      </x:c>
      <x:c r="D53" s="62" t="str">
        <x:v>Baseline, grader and model selection support.</x:v>
      </x:c>
      <x:c r="E53" s="6"/>
      <x:c r="F53" s="6"/>
      <x:c r="G53" s="6"/>
      <x:c r="H53" s="6"/>
      <x:c r="I53" s="6"/>
      <x:c r="J53" s="6"/>
      <x:c r="K53" s="6"/>
      <x:c r="L53" s="6"/>
    </x:row>
    <x:row r="54" ht="20" customHeight="1">
      <x:c r="A54" s="44" t="str">
        <x:v>Research hours per cycle</x:v>
      </x:c>
      <x:c r="B54" s="47" t="n">
        <x:v>40</x:v>
      </x:c>
      <x:c r="C54" s="46" t="str">
        <x:v>hours/cycle</x:v>
      </x:c>
      <x:c r="D54" s="62" t="str">
        <x:v>Training diagnostics and quality review.</x:v>
      </x:c>
      <x:c r="E54" s="6"/>
      <x:c r="F54" s="6"/>
      <x:c r="G54" s="6"/>
      <x:c r="H54" s="6"/>
      <x:c r="I54" s="6"/>
      <x:c r="J54" s="6"/>
      <x:c r="K54" s="6"/>
      <x:c r="L54" s="6"/>
    </x:row>
    <x:row r="55" ht="20" customHeight="1">
      <x:c r="A55" s="44" t="str">
        <x:v>Research loaded cost</x:v>
      </x:c>
      <x:c r="B55" s="50" t="n">
        <x:v>200</x:v>
      </x:c>
      <x:c r="C55" s="46" t="str">
        <x:v>$/hour</x:v>
      </x:c>
      <x:c r="D55" s="62" t="str">
        <x:v>Illustrative loaded labor cost.</x:v>
      </x:c>
      <x:c r="E55" s="6"/>
      <x:c r="F55" s="6"/>
      <x:c r="G55" s="6"/>
      <x:c r="H55" s="6"/>
      <x:c r="I55" s="6"/>
      <x:c r="J55" s="6"/>
      <x:c r="K55" s="6"/>
      <x:c r="L55" s="6"/>
    </x:row>
    <x:row r="56" ht="20" customHeight="1">
      <x:c r="A56" s="44" t="str">
        <x:v>Infra setup hours</x:v>
      </x:c>
      <x:c r="B56" s="47" t="n">
        <x:v>12</x:v>
      </x:c>
      <x:c r="C56" s="46" t="str">
        <x:v>hours</x:v>
      </x:c>
      <x:c r="D56" s="62" t="str">
        <x:v>Initial deployment, storage and capacity provisioning.</x:v>
      </x:c>
      <x:c r="E56" s="6"/>
      <x:c r="F56" s="6"/>
      <x:c r="G56" s="6"/>
      <x:c r="H56" s="6"/>
      <x:c r="I56" s="6"/>
      <x:c r="J56" s="6"/>
      <x:c r="K56" s="6"/>
      <x:c r="L56" s="6"/>
    </x:row>
    <x:row r="57" ht="20" customHeight="1">
      <x:c r="A57" s="44" t="str">
        <x:v>Infra hours per cycle</x:v>
      </x:c>
      <x:c r="B57" s="47" t="n">
        <x:v>16</x:v>
      </x:c>
      <x:c r="C57" s="46" t="str">
        <x:v>hours/cycle</x:v>
      </x:c>
      <x:c r="D57" s="62" t="str">
        <x:v>Runtime support and operational monitoring.</x:v>
      </x:c>
      <x:c r="E57" s="6"/>
      <x:c r="F57" s="6"/>
      <x:c r="G57" s="6"/>
      <x:c r="H57" s="6"/>
      <x:c r="I57" s="6"/>
      <x:c r="J57" s="6"/>
      <x:c r="K57" s="6"/>
      <x:c r="L57" s="6"/>
    </x:row>
    <x:row r="58" ht="20" customHeight="1">
      <x:c r="A58" s="44" t="str">
        <x:v>Infra loaded cost</x:v>
      </x:c>
      <x:c r="B58" s="50" t="n">
        <x:v>170</x:v>
      </x:c>
      <x:c r="C58" s="46" t="str">
        <x:v>$/hour</x:v>
      </x:c>
      <x:c r="D58" s="62" t="str">
        <x:v>Illustrative loaded labor cost.</x:v>
      </x:c>
      <x:c r="E58" s="6"/>
      <x:c r="F58" s="6"/>
      <x:c r="G58" s="6"/>
      <x:c r="H58" s="6"/>
      <x:c r="I58" s="6"/>
      <x:c r="J58" s="6"/>
      <x:c r="K58" s="6"/>
      <x:c r="L58" s="6"/>
    </x:row>
    <x:row r="59" ht="20" customHeight="1">
      <x:c r="A59" s="44" t="str">
        <x:v>Delivery setup hours</x:v>
      </x:c>
      <x:c r="B59" s="47" t="n">
        <x:v>16</x:v>
      </x:c>
      <x:c r="C59" s="46" t="str">
        <x:v>hours</x:v>
      </x:c>
      <x:c r="D59" s="62" t="str">
        <x:v>Customer milestones and coordinating approvals.</x:v>
      </x:c>
      <x:c r="E59" s="6"/>
      <x:c r="F59" s="6"/>
      <x:c r="G59" s="6"/>
      <x:c r="H59" s="6"/>
      <x:c r="I59" s="6"/>
      <x:c r="J59" s="6"/>
      <x:c r="K59" s="6"/>
      <x:c r="L59" s="6"/>
    </x:row>
    <x:row r="60" ht="20" customHeight="1">
      <x:c r="A60" s="44" t="str">
        <x:v>Delivery hours per cycle</x:v>
      </x:c>
      <x:c r="B60" s="47" t="n">
        <x:v>8</x:v>
      </x:c>
      <x:c r="C60" s="46" t="str">
        <x:v>hours/cycle</x:v>
      </x:c>
      <x:c r="D60" s="62" t="str">
        <x:v>Status, review meeting, completion evidence.</x:v>
      </x:c>
      <x:c r="E60" s="6"/>
      <x:c r="F60" s="6"/>
      <x:c r="G60" s="6"/>
      <x:c r="H60" s="6"/>
      <x:c r="I60" s="6"/>
      <x:c r="J60" s="6"/>
      <x:c r="K60" s="6"/>
      <x:c r="L60" s="6"/>
    </x:row>
    <x:row r="61" ht="20" customHeight="1">
      <x:c r="A61" s="44" t="str">
        <x:v>Delivery loaded cost</x:v>
      </x:c>
      <x:c r="B61" s="50" t="n">
        <x:v>150</x:v>
      </x:c>
      <x:c r="C61" s="46" t="str">
        <x:v>$/hour</x:v>
      </x:c>
      <x:c r="D61" s="62" t="str">
        <x:v>Illustrative loaded labor cost.</x:v>
      </x:c>
      <x:c r="E61" s="6"/>
      <x:c r="F61" s="6"/>
      <x:c r="G61" s="6"/>
      <x:c r="H61" s="6"/>
      <x:c r="I61" s="6"/>
      <x:c r="J61" s="6"/>
      <x:c r="K61" s="6"/>
      <x:c r="L61" s="6"/>
    </x:row>
    <x:row r="62" ht="20" customHeight="1">
      <x:c r="A62" s="44" t="str">
        <x:v>Baseline graders / environments</x:v>
      </x:c>
      <x:c r="B62" s="50" t="n">
        <x:v>1500</x:v>
      </x:c>
      <x:c r="C62" s="46" t="str">
        <x:v>$</x:v>
      </x:c>
      <x:c r="D62" s="62" t="str">
        <x:v>One-time APIs, sandbox, human quality checks.</x:v>
      </x:c>
      <x:c r="E62" s="6"/>
      <x:c r="F62" s="6"/>
      <x:c r="G62" s="6"/>
      <x:c r="H62" s="6"/>
      <x:c r="I62" s="6"/>
      <x:c r="J62" s="6"/>
      <x:c r="K62" s="6"/>
      <x:c r="L62" s="6"/>
    </x:row>
    <x:row r="63" ht="20" customHeight="1">
      <x:c r="A63" s="44" t="str">
        <x:v>Grader / environment per cycle</x:v>
      </x:c>
      <x:c r="B63" s="50" t="n">
        <x:v>1500</x:v>
      </x:c>
      <x:c r="C63" s="46" t="str">
        <x:v>$/cycle</x:v>
      </x:c>
      <x:c r="D63" s="62" t="str">
        <x:v>Some judge and tool costs are NOT GPU based.</x:v>
      </x:c>
      <x:c r="E63" s="6"/>
      <x:c r="F63" s="6"/>
      <x:c r="G63" s="6"/>
      <x:c r="H63" s="6"/>
      <x:c r="I63" s="6"/>
      <x:c r="J63" s="6"/>
      <x:c r="K63" s="6"/>
      <x:c r="L63" s="6"/>
    </x:row>
    <x:row r="64" ht="20" customHeight="1">
      <x:c r="A64" s="44" t="str">
        <x:v>Storage / networking</x:v>
      </x:c>
      <x:c r="B64" s="50" t="n">
        <x:v>1500</x:v>
      </x:c>
      <x:c r="C64" s="46" t="str">
        <x:v>$</x:v>
      </x:c>
      <x:c r="D64" s="62" t="str">
        <x:v>Illustrative checkpoint, transfer, logs and object storage.</x:v>
      </x:c>
      <x:c r="E64" s="6"/>
      <x:c r="F64" s="6"/>
      <x:c r="G64" s="6"/>
      <x:c r="H64" s="6"/>
      <x:c r="I64" s="6"/>
      <x:c r="J64" s="6"/>
      <x:c r="K64" s="6"/>
      <x:c r="L64" s="6"/>
    </x:row>
    <x:row r="65" ht="20" customHeight="1">
      <x:c r="A65" s="44" t="str">
        <x:v>Direct platform support</x:v>
      </x:c>
      <x:c r="B65" s="50" t="n">
        <x:v>4000</x:v>
      </x:c>
      <x:c r="C65" s="46" t="str">
        <x:v>$</x:v>
      </x:c>
      <x:c r="D65" s="62" t="str">
        <x:v>Deal-specific operating cost, not corporate overhead.</x:v>
      </x:c>
      <x:c r="E65" s="6"/>
      <x:c r="F65" s="6"/>
      <x:c r="G65" s="6"/>
      <x:c r="H65" s="6"/>
      <x:c r="I65" s="6"/>
      <x:c r="J65" s="6"/>
      <x:c r="K65" s="6"/>
      <x:c r="L65" s="6"/>
    </x:row>
    <x:row r="66" ht="20" customHeight="1">
      <x:c r="A66" s="44" t="str">
        <x:v>Expected rework allowance</x:v>
      </x:c>
      <x:c r="B66" s="48" t="n">
        <x:v>0.1</x:v>
      </x:c>
      <x:c r="C66" s="46" t="str">
        <x:v>% COGS</x:v>
      </x:c>
      <x:c r="D66" s="62" t="str">
        <x:v>Expected delivery variation; forecast, not booked accounting expense.</x:v>
      </x:c>
      <x:c r="E66" s="6"/>
      <x:c r="F66" s="6"/>
      <x:c r="G66" s="6"/>
      <x:c r="H66" s="6"/>
      <x:c r="I66" s="6"/>
      <x:c r="J66" s="6"/>
      <x:c r="K66" s="6"/>
      <x:c r="L66" s="6"/>
    </x:row>
    <x:row r="67" ht="24" customHeight="1">
      <x:c r="A67" s="51" t="str">
        <x:v>4   CUSTOMER QUOTE + MARGIN POLICY</x:v>
      </x:c>
      <x:c r="B67" s="51"/>
      <x:c r="C67" s="51"/>
      <x:c r="D67" s="63"/>
      <x:c r="E67" s="6"/>
      <x:c r="F67" s="6"/>
      <x:c r="G67" s="6"/>
      <x:c r="H67" s="6"/>
      <x:c r="I67" s="6"/>
      <x:c r="J67" s="6"/>
      <x:c r="K67" s="6"/>
      <x:c r="L67" s="6"/>
    </x:row>
    <x:row r="68" ht="20" customHeight="1">
      <x:c r="A68" s="44" t="str">
        <x:v>Readiness fixed fee</x:v>
      </x:c>
      <x:c r="B68" s="50" t="n">
        <x:v>30000</x:v>
      </x:c>
      <x:c r="C68" s="46" t="str">
        <x:v>$</x:v>
      </x:c>
      <x:c r="D68" s="62" t="str">
        <x:v>Customer-facing fixed feasibility, baseline and grader design.</x:v>
      </x:c>
      <x:c r="E68" s="6"/>
      <x:c r="F68" s="6"/>
      <x:c r="G68" s="6"/>
      <x:c r="H68" s="6"/>
      <x:c r="I68" s="6"/>
      <x:c r="J68" s="6"/>
      <x:c r="K68" s="6"/>
      <x:c r="L68" s="6"/>
    </x:row>
    <x:row r="69" ht="20" customHeight="1">
      <x:c r="A69" s="44" t="str">
        <x:v>Engineering setup fee</x:v>
      </x:c>
      <x:c r="B69" s="50" t="n">
        <x:v>78000</x:v>
      </x:c>
      <x:c r="C69" s="46" t="str">
        <x:v>$</x:v>
      </x:c>
      <x:c r="D69" s="62" t="str">
        <x:v>Customer-facing engineering/harness delivery across engagement.</x:v>
      </x:c>
      <x:c r="E69" s="6"/>
      <x:c r="F69" s="6"/>
      <x:c r="G69" s="6"/>
      <x:c r="H69" s="6"/>
      <x:c r="I69" s="6"/>
      <x:c r="J69" s="6"/>
      <x:c r="K69" s="6"/>
      <x:c r="L69" s="6"/>
    </x:row>
    <x:row r="70" ht="20" customHeight="1">
      <x:c r="A70" s="44" t="str">
        <x:v>RL cycle fee (standard)</x:v>
      </x:c>
      <x:c r="B70" s="50" t="n">
        <x:v>24000</x:v>
      </x:c>
      <x:c r="C70" s="46" t="str">
        <x:v>$/cycle</x:v>
      </x:c>
      <x:c r="D70" s="62" t="str">
        <x:v>Customer fee per approved baseline-size cycle.</x:v>
      </x:c>
      <x:c r="E70" s="6"/>
      <x:c r="F70" s="6"/>
      <x:c r="G70" s="6"/>
      <x:c r="H70" s="6"/>
      <x:c r="I70" s="6"/>
      <x:c r="J70" s="6"/>
      <x:c r="K70" s="6"/>
      <x:c r="L70" s="6"/>
    </x:row>
    <x:row r="71" ht="20" customHeight="1">
      <x:c r="A71" s="44" t="str">
        <x:v>Included cycles before added labor</x:v>
      </x:c>
      <x:c r="B71" s="47" t="n">
        <x:v>3</x:v>
      </x:c>
      <x:c r="C71" s="46" t="str">
        <x:v>cycles</x:v>
      </x:c>
      <x:c r="D71" s="62" t="str">
        <x:v>Extra cycle also needs named incremental engineering allocation.</x:v>
      </x:c>
      <x:c r="E71" s="6"/>
      <x:c r="F71" s="6"/>
      <x:c r="G71" s="6"/>
      <x:c r="H71" s="6"/>
      <x:c r="I71" s="6"/>
      <x:c r="J71" s="6"/>
      <x:c r="K71" s="6"/>
      <x:c r="L71" s="6"/>
    </x:row>
    <x:row r="72" ht="20" customHeight="1">
      <x:c r="A72" s="44" t="str">
        <x:v>Added engineering fee / extra cycle</x:v>
      </x:c>
      <x:c r="B72" s="50" t="n">
        <x:v>24000</x:v>
      </x:c>
      <x:c r="C72" s="46" t="str">
        <x:v>$/cycle</x:v>
      </x:c>
      <x:c r="D72" s="62" t="str">
        <x:v>Only for loops above included engineering scope.</x:v>
      </x:c>
      <x:c r="E72" s="6"/>
      <x:c r="F72" s="6"/>
      <x:c r="G72" s="6"/>
      <x:c r="H72" s="6"/>
      <x:c r="I72" s="6"/>
      <x:c r="J72" s="6"/>
      <x:c r="K72" s="6"/>
      <x:c r="L72" s="6"/>
    </x:row>
    <x:row r="73" ht="20" customHeight="1">
      <x:c r="A73" s="44" t="str">
        <x:v>Independent final validation fee</x:v>
      </x:c>
      <x:c r="B73" s="50" t="n">
        <x:v>30000</x:v>
      </x:c>
      <x:c r="C73" s="46" t="str">
        <x:v>$</x:v>
      </x:c>
      <x:c r="D73" s="62" t="str">
        <x:v>Held-out results, reproducibility and model handoff.</x:v>
      </x:c>
      <x:c r="E73" s="6"/>
      <x:c r="F73" s="6"/>
      <x:c r="G73" s="6"/>
      <x:c r="H73" s="6"/>
      <x:c r="I73" s="6"/>
      <x:c r="J73" s="6"/>
      <x:c r="K73" s="6"/>
      <x:c r="L73" s="6"/>
    </x:row>
    <x:row r="74" ht="20" customHeight="1">
      <x:c r="A74" s="44"/>
      <x:c r="B74" s="44"/>
      <x:c r="C74" s="44"/>
      <x:c r="D74" s="64"/>
      <x:c r="E74" s="6"/>
      <x:c r="F74" s="6"/>
      <x:c r="G74" s="6"/>
      <x:c r="H74" s="6"/>
      <x:c r="I74" s="6"/>
      <x:c r="J74" s="6"/>
      <x:c r="K74" s="6"/>
      <x:c r="L74" s="6"/>
    </x:row>
    <x:row r="75" ht="20" customHeight="1">
      <x:c r="A75" s="44" t="str">
        <x:v>Negotiated project discount</x:v>
      </x:c>
      <x:c r="B75" s="48" t="n">
        <x:v>0</x:v>
      </x:c>
      <x:c r="C75" s="46" t="str">
        <x:v>%</x:v>
      </x:c>
      <x:c r="D75" s="62" t="str">
        <x:v>Discount reduces commercial margin; no hidden cost reduction.</x:v>
      </x:c>
      <x:c r="E75" s="6"/>
      <x:c r="F75" s="6"/>
      <x:c r="G75" s="6"/>
      <x:c r="H75" s="6"/>
      <x:c r="I75" s="6"/>
      <x:c r="J75" s="6"/>
      <x:c r="K75" s="6"/>
      <x:c r="L75" s="6"/>
    </x:row>
    <x:row r="76" ht="20" customHeight="1">
      <x:c r="A76" s="44" t="str">
        <x:v>Target engagement gross margin</x:v>
      </x:c>
      <x:c r="B76" s="48" t="n">
        <x:v>0.45</x:v>
      </x:c>
      <x:c r="C76" s="46" t="str">
        <x:v>%</x:v>
      </x:c>
      <x:c r="D76" s="62" t="str">
        <x:v>Illustrative policy to test, not company-provided target.</x:v>
      </x:c>
      <x:c r="E76" s="6"/>
      <x:c r="F76" s="6"/>
      <x:c r="G76" s="6"/>
      <x:c r="H76" s="6"/>
      <x:c r="I76" s="6"/>
      <x:c r="J76" s="6"/>
      <x:c r="K76" s="6"/>
      <x:c r="L76" s="6"/>
    </x:row>
    <x:row r="77" ht="20" customHeight="1">
      <x:c r="A77" s="44" t="str">
        <x:v>Minimum acceptable GM</x:v>
      </x:c>
      <x:c r="B77" s="48" t="n">
        <x:v>0.35</x:v>
      </x:c>
      <x:c r="C77" s="46" t="str">
        <x:v>%</x:v>
      </x:c>
      <x:c r="D77" s="62" t="str">
        <x:v>Triggers warning in discount/underpricing scenario.</x:v>
      </x:c>
      <x:c r="E77" s="6"/>
      <x:c r="F77" s="6"/>
      <x:c r="G77" s="6"/>
      <x:c r="H77" s="6"/>
      <x:c r="I77" s="6"/>
      <x:c r="J77" s="6"/>
      <x:c r="K77" s="6"/>
      <x:c r="L77" s="6"/>
    </x:row>
    <x:row r="78" ht="24" customHeight="1">
      <x:c r="A78" s="51" t="str">
        <x:v>5   GPU CAPACITY + PROCUREMENT</x:v>
      </x:c>
      <x:c r="B78" s="51"/>
      <x:c r="C78" s="51"/>
      <x:c r="D78" s="63"/>
      <x:c r="E78" s="6"/>
      <x:c r="F78" s="6"/>
      <x:c r="G78" s="6"/>
      <x:c r="H78" s="6"/>
      <x:c r="I78" s="6"/>
      <x:c r="J78" s="6"/>
      <x:c r="K78" s="6"/>
      <x:c r="L78" s="6"/>
    </x:row>
    <x:row r="79" ht="20" customHeight="1">
      <x:c r="A79" s="44" t="str">
        <x:v>Use compatible existing GPUs?</x:v>
      </x:c>
      <x:c r="B79" s="45" t="str">
        <x:v>Yes</x:v>
      </x:c>
      <x:c r="C79" s="46" t="str">
        <x:v>Yes / No</x:v>
      </x:c>
      <x:c r="D79" s="62" t="str">
        <x:v>Existing must be spare and topology/region compatible.</x:v>
      </x:c>
      <x:c r="E79" s="6"/>
      <x:c r="F79" s="6"/>
      <x:c r="G79" s="6"/>
      <x:c r="H79" s="6"/>
      <x:c r="I79" s="6"/>
      <x:c r="J79" s="6"/>
      <x:c r="K79" s="6"/>
      <x:c r="L79" s="6"/>
    </x:row>
    <x:row r="80" ht="20" customHeight="1">
      <x:c r="A80" s="44" t="str">
        <x:v>New capacity acquisition</x:v>
      </x:c>
      <x:c r="B80" s="45" t="str">
        <x:v>Auto</x:v>
      </x:c>
      <x:c r="C80" s="46" t="str">
        <x:v>Auto / PayGo / Extend / Reserve / Existing only / BYOC</x:v>
      </x:c>
      <x:c r="D80" s="62" t="str">
        <x:v>Auto minimizes modeled incremental vendor cash (not risk-adjusted opportunity).</x:v>
      </x:c>
      <x:c r="E80" s="6"/>
      <x:c r="F80" s="6"/>
      <x:c r="G80" s="6"/>
      <x:c r="H80" s="6"/>
      <x:c r="I80" s="6"/>
      <x:c r="J80" s="6"/>
      <x:c r="K80" s="6"/>
      <x:c r="L80" s="6"/>
    </x:row>
    <x:row r="81" ht="20" customHeight="1">
      <x:c r="A81" s="44" t="str">
        <x:v>Extra capacity can be obtained?</x:v>
      </x:c>
      <x:c r="B81" s="45" t="str">
        <x:v>No</x:v>
      </x:c>
      <x:c r="C81" s="46" t="str">
        <x:v>Yes / No</x:v>
      </x:c>
      <x:c r="D81" s="62" t="str">
        <x:v>Supplier availability NOT verified; No blocks uncovered workloads.</x:v>
      </x:c>
      <x:c r="E81" s="6"/>
      <x:c r="F81" s="6"/>
      <x:c r="G81" s="6"/>
      <x:c r="H81" s="6"/>
      <x:c r="I81" s="6"/>
      <x:c r="J81" s="6"/>
      <x:c r="K81" s="6"/>
      <x:c r="L81" s="6"/>
    </x:row>
    <x:row r="82" ht="20" customHeight="1">
      <x:c r="A82" s="44" t="str">
        <x:v>PayGo unit price</x:v>
      </x:c>
      <x:c r="B82" s="52" t="n">
        <x:v>3.99</x:v>
      </x:c>
      <x:c r="C82" s="46" t="str">
        <x:v>$/GPU-hour</x:v>
      </x:c>
      <x:c r="D82" s="62" t="str">
        <x:v>Illustrative public H100 benchmark; not AC internal contracted price.</x:v>
      </x:c>
      <x:c r="E82" s="6"/>
      <x:c r="F82" s="6"/>
      <x:c r="G82" s="6"/>
      <x:c r="H82" s="6"/>
      <x:c r="I82" s="6"/>
      <x:c r="J82" s="6"/>
      <x:c r="K82" s="6"/>
      <x:c r="L82" s="6"/>
    </x:row>
    <x:row r="83" ht="20" customHeight="1">
      <x:c r="A83" s="44" t="str">
        <x:v>One-week extension unit price</x:v>
      </x:c>
      <x:c r="B83" s="52" t="n">
        <x:v>2.75</x:v>
      </x:c>
      <x:c r="C83" s="46" t="str">
        <x:v>$/GPU-hour</x:v>
      </x:c>
      <x:c r="D83" s="62" t="str">
        <x:v>Illustrative; extensions must actually be available.</x:v>
      </x:c>
      <x:c r="E83" s="6"/>
      <x:c r="F83" s="6"/>
      <x:c r="G83" s="6"/>
      <x:c r="H83" s="6"/>
      <x:c r="I83" s="6"/>
      <x:c r="J83" s="6"/>
      <x:c r="K83" s="6"/>
      <x:c r="L83" s="6"/>
    </x:row>
    <x:row r="84" ht="20" customHeight="1">
      <x:c r="A84" s="44" t="str">
        <x:v>New reservation unit price</x:v>
      </x:c>
      <x:c r="B84" s="52" t="n">
        <x:v>2.5</x:v>
      </x:c>
      <x:c r="C84" s="46" t="str">
        <x:v>$/GPU-hour</x:v>
      </x:c>
      <x:c r="D84" s="62" t="str">
        <x:v>Illustrative price subject to 4-week minimum.</x:v>
      </x:c>
      <x:c r="E84" s="6"/>
      <x:c r="F84" s="6"/>
      <x:c r="G84" s="6"/>
      <x:c r="H84" s="6"/>
      <x:c r="I84" s="6"/>
      <x:c r="J84" s="6"/>
      <x:c r="K84" s="6"/>
      <x:c r="L84" s="6"/>
    </x:row>
    <x:row r="85" ht="20" customHeight="1">
      <x:c r="A85" s="44" t="str">
        <x:v>Minimum new reservation</x:v>
      </x:c>
      <x:c r="B85" s="47" t="n">
        <x:v>4</x:v>
      </x:c>
      <x:c r="C85" s="46" t="str">
        <x:v>weeks</x:v>
      </x:c>
      <x:c r="D85" s="62" t="str">
        <x:v>Reservation cash paid even when unused.</x:v>
      </x:c>
      <x:c r="E85" s="6"/>
      <x:c r="F85" s="6"/>
      <x:c r="G85" s="6"/>
      <x:c r="H85" s="6"/>
      <x:c r="I85" s="6"/>
      <x:c r="J85" s="6"/>
      <x:c r="K85" s="6"/>
      <x:c r="L85" s="6"/>
    </x:row>
    <x:row r="86" ht="20" customHeight="1">
      <x:c r="A86" s="44" t="str">
        <x:v>Hours per scheduled week</x:v>
      </x:c>
      <x:c r="B86" s="47" t="n">
        <x:v>168</x:v>
      </x:c>
      <x:c r="C86" s="46" t="str">
        <x:v>hours</x:v>
      </x:c>
      <x:c r="D86" s="62" t="str">
        <x:v>Upper bound; operations/maintenance reduce usable hours.</x:v>
      </x:c>
      <x:c r="E86" s="6"/>
      <x:c r="F86" s="6"/>
      <x:c r="G86" s="6"/>
      <x:c r="H86" s="6"/>
      <x:c r="I86" s="6"/>
      <x:c r="J86" s="6"/>
      <x:c r="K86" s="6"/>
      <x:c r="L86" s="6"/>
    </x:row>
    <x:row r="87" ht="20" customHeight="1">
      <x:c r="A87" s="44" t="str">
        <x:v>Existing capacity allocation cost</x:v>
      </x:c>
      <x:c r="B87" s="52" t="n">
        <x:v>2.5</x:v>
      </x:c>
      <x:c r="C87" s="46" t="str">
        <x:v>$/GPU-hour</x:v>
      </x:c>
      <x:c r="D87" s="62" t="str">
        <x:v>Managerial COGS for already-paid GPU hours; not incremental cash.</x:v>
      </x:c>
      <x:c r="E87" s="6"/>
      <x:c r="F87" s="6"/>
      <x:c r="G87" s="6"/>
      <x:c r="H87" s="6"/>
      <x:c r="I87" s="6"/>
      <x:c r="J87" s="6"/>
      <x:c r="K87" s="6"/>
      <x:c r="L87" s="6"/>
    </x:row>
    <x:row r="88" ht="20" customHeight="1">
      <x:c r="A88" s="44" t="str">
        <x:v>Existing capacity opportunity value</x:v>
      </x:c>
      <x:c r="B88" s="52" t="n">
        <x:v>0</x:v>
      </x:c>
      <x:c r="C88" s="46" t="str">
        <x:v>$/GPU-hour</x:v>
      </x:c>
      <x:c r="D88" s="62" t="str">
        <x:v>Value lost from displacing real alternative; not accounting COGS.</x:v>
      </x:c>
      <x:c r="E88" s="6"/>
      <x:c r="F88" s="6"/>
      <x:c r="G88" s="6"/>
      <x:c r="H88" s="6"/>
      <x:c r="I88" s="6"/>
      <x:c r="J88" s="6"/>
      <x:c r="K88" s="6"/>
      <x:c r="L88" s="6"/>
    </x:row>
    <x:row r="89" ht="20" customHeight="1">
      <x:c r="A89" s="44" t="str">
        <x:v>New provisioning / setup</x:v>
      </x:c>
      <x:c r="B89" s="50" t="n">
        <x:v>0</x:v>
      </x:c>
      <x:c r="C89" s="46" t="str">
        <x:v>$</x:v>
      </x:c>
      <x:c r="D89" s="62" t="str">
        <x:v>Reserved to add one-off cluster integration fees.</x:v>
      </x:c>
      <x:c r="E89" s="6"/>
      <x:c r="F89" s="6"/>
      <x:c r="G89" s="6"/>
      <x:c r="H89" s="6"/>
      <x:c r="I89" s="6"/>
      <x:c r="J89" s="6"/>
      <x:c r="K89" s="6"/>
      <x:c r="L89" s="6"/>
    </x:row>
    <x:row r="90" ht="24" customHeight="1">
      <x:c r="A90" s="51" t="str">
        <x:v>6   OPTIONAL PRODUCTION INFERENCE</x:v>
      </x:c>
      <x:c r="B90" s="51"/>
      <x:c r="C90" s="51"/>
      <x:c r="D90" s="63"/>
      <x:c r="E90" s="6"/>
      <x:c r="F90" s="6"/>
      <x:c r="G90" s="6"/>
      <x:c r="H90" s="6"/>
      <x:c r="I90" s="6"/>
      <x:c r="J90" s="6"/>
      <x:c r="K90" s="6"/>
      <x:c r="L90" s="6"/>
    </x:row>
    <x:row r="91" ht="20" customHeight="1">
      <x:c r="A91" s="44" t="str">
        <x:v>Shared minimum monthly</x:v>
      </x:c>
      <x:c r="B91" s="50" t="n">
        <x:v>15000</x:v>
      </x:c>
      <x:c r="C91" s="46" t="str">
        <x:v>$/month</x:v>
      </x:c>
      <x:c r="D91" s="62" t="str">
        <x:v>Illustrative contracted minimum for managed shared inference.</x:v>
      </x:c>
      <x:c r="E91" s="6"/>
      <x:c r="F91" s="6"/>
      <x:c r="G91" s="6"/>
      <x:c r="H91" s="6"/>
      <x:c r="I91" s="6"/>
      <x:c r="J91" s="6"/>
      <x:c r="K91" s="6"/>
      <x:c r="L91" s="6"/>
    </x:row>
    <x:row r="92" ht="20" customHeight="1">
      <x:c r="A92" s="44" t="str">
        <x:v>Dedicated warm GPU fee</x:v>
      </x:c>
      <x:c r="B92" s="50" t="n">
        <x:v>6000</x:v>
      </x:c>
      <x:c r="C92" s="46" t="str">
        <x:v>$/GPU-month</x:v>
      </x:c>
      <x:c r="D92" s="62" t="str">
        <x:v>Illustrative capacity subscription; check utilization and SLA.</x:v>
      </x:c>
      <x:c r="E92" s="6"/>
      <x:c r="F92" s="6"/>
      <x:c r="G92" s="6"/>
      <x:c r="H92" s="6"/>
      <x:c r="I92" s="6"/>
      <x:c r="J92" s="6"/>
      <x:c r="K92" s="6"/>
      <x:c r="L92" s="6"/>
    </x:row>
    <x:row r="93" ht="20" customHeight="1">
      <x:c r="A93" s="44" t="str">
        <x:v>Input token overage rate</x:v>
      </x:c>
      <x:c r="B93" s="52" t="n">
        <x:v>1.2</x:v>
      </x:c>
      <x:c r="C93" s="46" t="str">
        <x:v>$/1M tokens</x:v>
      </x:c>
      <x:c r="D93" s="62" t="str">
        <x:v>Charge beyond included input token allowance.</x:v>
      </x:c>
      <x:c r="E93" s="6"/>
      <x:c r="F93" s="6"/>
      <x:c r="G93" s="6"/>
      <x:c r="H93" s="6"/>
      <x:c r="I93" s="6"/>
      <x:c r="J93" s="6"/>
      <x:c r="K93" s="6"/>
      <x:c r="L93" s="6"/>
    </x:row>
    <x:row r="94" ht="20" customHeight="1">
      <x:c r="A94" s="44" t="str">
        <x:v>Output token overage rate</x:v>
      </x:c>
      <x:c r="B94" s="52" t="n">
        <x:v>4.5</x:v>
      </x:c>
      <x:c r="C94" s="46" t="str">
        <x:v>$/1M tokens</x:v>
      </x:c>
      <x:c r="D94" s="62" t="str">
        <x:v>Charge beyond included output token allowance.</x:v>
      </x:c>
      <x:c r="E94" s="6"/>
      <x:c r="F94" s="6"/>
      <x:c r="G94" s="6"/>
      <x:c r="H94" s="6"/>
      <x:c r="I94" s="6"/>
      <x:c r="J94" s="6"/>
      <x:c r="K94" s="6"/>
      <x:c r="L94" s="6"/>
    </x:row>
    <x:row r="95" ht="20" customHeight="1">
      <x:c r="A95" s="44" t="str">
        <x:v>Included monthly input tokens</x:v>
      </x:c>
      <x:c r="B95" s="47" t="n">
        <x:v>20000000</x:v>
      </x:c>
      <x:c r="C95" s="46" t="str">
        <x:v>tokens/month</x:v>
      </x:c>
      <x:c r="D95" s="62" t="str">
        <x:v>Customer service-order threshold; overage beyond this.</x:v>
      </x:c>
      <x:c r="E95" s="6"/>
      <x:c r="F95" s="6"/>
      <x:c r="G95" s="6"/>
      <x:c r="H95" s="6"/>
      <x:c r="I95" s="6"/>
      <x:c r="J95" s="6"/>
      <x:c r="K95" s="6"/>
      <x:c r="L95" s="6"/>
    </x:row>
    <x:row r="96" ht="20" customHeight="1">
      <x:c r="A96" s="44" t="str">
        <x:v>Included monthly output tokens</x:v>
      </x:c>
      <x:c r="B96" s="47" t="n">
        <x:v>10000000</x:v>
      </x:c>
      <x:c r="C96" s="46" t="str">
        <x:v>tokens/month</x:v>
      </x:c>
      <x:c r="D96" s="62" t="str">
        <x:v>Customer service-order threshold; overage beyond this.</x:v>
      </x:c>
      <x:c r="E96" s="6"/>
      <x:c r="F96" s="6"/>
      <x:c r="G96" s="6"/>
      <x:c r="H96" s="6"/>
      <x:c r="I96" s="6"/>
      <x:c r="J96" s="6"/>
      <x:c r="K96" s="6"/>
      <x:c r="L96" s="6"/>
    </x:row>
    <x:row r="97" ht="20" customHeight="1">
      <x:c r="A97" s="44" t="str">
        <x:v>Serving engineering support</x:v>
      </x:c>
      <x:c r="B97" s="50" t="n">
        <x:v>2500</x:v>
      </x:c>
      <x:c r="C97" s="46" t="str">
        <x:v>$/month</x:v>
      </x:c>
      <x:c r="D97" s="62" t="str">
        <x:v>Direct production support and observability forecast.</x:v>
      </x:c>
      <x:c r="E97" s="6"/>
      <x:c r="F97" s="6"/>
      <x:c r="G97" s="6"/>
      <x:c r="H97" s="6"/>
      <x:c r="I97" s="6"/>
      <x:c r="J97" s="6"/>
      <x:c r="K97" s="6"/>
      <x:c r="L97" s="6"/>
    </x:row>
    <x:row r="98" ht="20" customHeight="1">
      <x:c r="A98" s="44" t="str">
        <x:v>Serving throughput (standard)</x:v>
      </x:c>
      <x:c r="B98" s="47" t="n">
        <x:v>100000</x:v>
      </x:c>
      <x:c r="C98" s="46" t="str">
        <x:v>equiv tokens/GPU-hour</x:v>
      </x:c>
      <x:c r="D98" s="62" t="str">
        <x:v>Must benchmark SLO-compliant serving throughput.</x:v>
      </x:c>
      <x:c r="E98" s="6"/>
      <x:c r="F98" s="6"/>
      <x:c r="G98" s="6"/>
      <x:c r="H98" s="6"/>
      <x:c r="I98" s="6"/>
      <x:c r="J98" s="6"/>
      <x:c r="K98" s="6"/>
      <x:c r="L98" s="6"/>
    </x:row>
    <x:row r="99" ht="20" customHeight="1">
      <x:c r="A99" s="44" t="str">
        <x:v>Shared capacity share</x:v>
      </x:c>
      <x:c r="B99" s="48" t="n">
        <x:v>0.35</x:v>
      </x:c>
      <x:c r="C99" s="46" t="str">
        <x:v>%</x:v>
      </x:c>
      <x:c r="D99" s="62" t="str">
        <x:v>Allocated share of shared serving fleet; finance assumption.</x:v>
      </x:c>
      <x:c r="E99" s="6"/>
      <x:c r="F99" s="6"/>
      <x:c r="G99" s="6"/>
      <x:c r="H99" s="6"/>
      <x:c r="I99" s="6"/>
      <x:c r="J99" s="6"/>
      <x:c r="K99" s="6"/>
      <x:c r="L99" s="6"/>
    </x:row>
    <x:row r="100" ht="23" customHeight="1">
      <x:c r="A100" s="200" t="str">
        <x:v>MODEL AND HARDWARE APPROVAL GATES (scenario prices still calculate when No)</x:v>
      </x:c>
      <x:c r="B100" s="200"/>
      <x:c r="C100" s="200"/>
      <x:c r="D100" s="200"/>
      <x:c r="E100" s="6"/>
      <x:c r="F100" s="6"/>
      <x:c r="G100" s="6"/>
      <x:c r="H100" s="6"/>
      <x:c r="I100" s="6"/>
      <x:c r="J100" s="6"/>
      <x:c r="K100" s="6"/>
      <x:c r="L100" s="6"/>
    </x:row>
    <x:row r="101" ht="20" customHeight="1">
      <x:c r="A101" s="6" t="str">
        <x:v>AC workload benchmark confirmed?</x:v>
      </x:c>
      <x:c r="B101" s="199" t="str">
        <x:v>No</x:v>
      </x:c>
      <x:c r="C101" s="6" t="str">
        <x:v>Yes / No</x:v>
      </x:c>
      <x:c r="D101" s="6" t="str">
        <x:v>Includes measured trainer, rollout and eval throughput for selected model and GPU class.</x:v>
      </x:c>
      <x:c r="E101" s="6"/>
      <x:c r="F101" s="6"/>
      <x:c r="G101" s="6"/>
      <x:c r="H101" s="6"/>
      <x:c r="I101" s="6"/>
      <x:c r="J101" s="6"/>
      <x:c r="K101" s="6"/>
      <x:c r="L101" s="6"/>
    </x:row>
    <x:row r="102" ht="20" customHeight="1">
      <x:c r="A102" s="6" t="str">
        <x:v>Training access / licensing approved?</x:v>
      </x:c>
      <x:c r="B102" s="199" t="str">
        <x:v>No</x:v>
      </x:c>
      <x:c r="C102" s="6" t="str">
        <x:v>Yes / No</x:v>
      </x:c>
      <x:c r="D102" s="6" t="str">
        <x:v>Customer + AC confirm weights, license and AC2 training access.</x:v>
      </x:c>
      <x:c r="E102" s="6"/>
      <x:c r="F102" s="6"/>
      <x:c r="G102" s="6"/>
      <x:c r="H102" s="6"/>
      <x:c r="I102" s="6"/>
      <x:c r="J102" s="6"/>
      <x:c r="K102" s="6"/>
      <x:c r="L102" s="6"/>
    </x:row>
    <x:row r="103" ht="20" customHeight="1">
      <x:c r="A103" s="6" t="str">
        <x:v>GPU accelerator planned</x:v>
      </x:c>
      <x:c r="B103" s="199" t="str">
        <x:v>H100</x:v>
      </x:c>
      <x:c r="C103" s="6" t="str">
        <x:v>H100 / B200 / B300 / Other</x:v>
      </x:c>
      <x:c r="D103" s="6" t="str">
        <x:v>Existing capacity pools must be same SKU family or separately benchmarked.</x:v>
      </x:c>
      <x:c r="E103" s="6"/>
      <x:c r="F103" s="6"/>
      <x:c r="G103" s="6"/>
      <x:c r="H103" s="6"/>
      <x:c r="I103" s="6"/>
      <x:c r="J103" s="6"/>
      <x:c r="K103" s="6"/>
      <x:c r="L103" s="6"/>
    </x:row>
    <x:row r="104" ht="20" customHeight="1">
      <x:c r="A104" s="6" t="str">
        <x:v>GPU SKU-specific rate confirmed?</x:v>
      </x:c>
      <x:c r="B104" s="199" t="str">
        <x:v>No</x:v>
      </x:c>
      <x:c r="C104" s="6" t="str">
        <x:v>Yes / No</x:v>
      </x:c>
      <x:c r="D104" s="6" t="str">
        <x:v>H100 starter rate must not silently price B200/B300; verify supplier cost and allocation rate.</x:v>
      </x:c>
      <x:c r="E104" s="6"/>
      <x:c r="F104" s="6"/>
      <x:c r="G104" s="6"/>
      <x:c r="H104" s="6"/>
      <x:c r="I104" s="6"/>
      <x:c r="J104" s="6"/>
      <x:c r="K104" s="6"/>
      <x:c r="L104" s="6"/>
    </x:row>
    <x:row r="105" ht="20" customHeight="1">
      <x:c r="A105" s="6"/>
      <x:c r="B105" s="6"/>
      <x:c r="C105" s="6"/>
      <x:c r="D105" s="6"/>
      <x:c r="E105" s="6"/>
      <x:c r="F105" s="6"/>
      <x:c r="G105" s="6"/>
      <x:c r="H105" s="6"/>
      <x:c r="I105" s="6"/>
      <x:c r="J105" s="6"/>
      <x:c r="K105" s="6"/>
      <x:c r="L105" s="6"/>
    </x:row>
    <x:row r="106" ht="20" customHeight="1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</x:row>
    <x:row r="107" ht="24" customHeight="1">
      <x:c r="A107" s="21" t="str">
        <x:v>7   EXISTING CAPACITY  |  SUPPLY TYPE MUST MATCH GPU FAMILY IN B103</x:v>
      </x:c>
      <x:c r="B107" s="21"/>
      <x:c r="C107" s="21"/>
      <x:c r="D107" s="21"/>
      <x:c r="E107" s="6"/>
      <x:c r="F107" s="6"/>
      <x:c r="G107" s="6"/>
      <x:c r="H107" s="6"/>
      <x:c r="I107" s="6"/>
      <x:c r="J107" s="6"/>
      <x:c r="K107" s="6"/>
      <x:c r="L107" s="6"/>
    </x:row>
    <x:row r="108" ht="25" customHeight="1">
      <x:c r="A108" s="69" t="str">
        <x:v>Pool / contract</x:v>
      </x:c>
      <x:c r="B108" s="69" t="str">
        <x:v>Free GPU units</x:v>
      </x:c>
      <x:c r="C108" s="69" t="str">
        <x:v>Start week</x:v>
      </x:c>
      <x:c r="D108" s="69" t="str">
        <x:v>Expiry week</x:v>
      </x:c>
      <x:c r="E108" s="69" t="str">
        <x:v>Comment</x:v>
      </x:c>
      <x:c r="F108" s="69" t="str">
        <x:v>Region / fit</x:v>
      </x:c>
      <x:c r="G108" s="6" t="str">
        <x:v>GPU family</x:v>
      </x:c>
      <x:c r="H108" s="6" t="str">
        <x:v>▼ Fit status</x:v>
      </x:c>
      <x:c r="I108" s="6"/>
      <x:c r="J108" s="6"/>
      <x:c r="K108" s="6"/>
      <x:c r="L108" s="6"/>
    </x:row>
    <x:row r="109" ht="25" customHeight="1">
      <x:c r="A109" s="72" t="str">
        <x:v>Prepaid cluster A</x:v>
      </x:c>
      <x:c r="B109" s="73" t="n">
        <x:v>8</x:v>
      </x:c>
      <x:c r="C109" s="73" t="n">
        <x:v>1</x:v>
      </x:c>
      <x:c r="D109" s="73" t="n">
        <x:v>8</x:v>
      </x:c>
      <x:c r="E109" s="72" t="str">
        <x:v>Already paid; check topology</x:v>
      </x:c>
      <x:c r="F109" s="73" t="str">
        <x:v>Compatible</x:v>
      </x:c>
      <x:c r="G109" s="199" t="str">
        <x:v>H100</x:v>
      </x:c>
      <x:c r="H109" s="6"/>
      <x:c r="I109" s="6"/>
      <x:c r="J109" s="6"/>
      <x:c r="K109" s="6"/>
      <x:c r="L109" s="6"/>
    </x:row>
    <x:row r="110" ht="25" customHeight="1">
      <x:c r="A110" s="72" t="str">
        <x:v>Other pool B</x:v>
      </x:c>
      <x:c r="B110" s="73" t="n">
        <x:v>0</x:v>
      </x:c>
      <x:c r="C110" s="73" t="n">
        <x:v>3</x:v>
      </x:c>
      <x:c r="D110" s="73" t="n">
        <x:v>5</x:v>
      </x:c>
      <x:c r="E110" s="72" t="str">
        <x:v>Optional second tranche</x:v>
      </x:c>
      <x:c r="F110" s="73" t="str">
        <x:v>Compatible</x:v>
      </x:c>
      <x:c r="G110" s="199" t="str">
        <x:v>H100</x:v>
      </x:c>
      <x:c r="H110" s="6"/>
      <x:c r="I110" s="6"/>
      <x:c r="J110" s="6"/>
      <x:c r="K110" s="6"/>
      <x:c r="L110" s="6"/>
    </x:row>
    <x:row r="111" ht="25" customHeight="1">
      <x:c r="A111" s="72" t="str">
        <x:v>Other pool C</x:v>
      </x:c>
      <x:c r="B111" s="73" t="n">
        <x:v>0</x:v>
      </x:c>
      <x:c r="C111" s="73" t="n">
        <x:v>5</x:v>
      </x:c>
      <x:c r="D111" s="73" t="n">
        <x:v>8</x:v>
      </x:c>
      <x:c r="E111" s="72" t="str">
        <x:v>Optional third tranche</x:v>
      </x:c>
      <x:c r="F111" s="73" t="str">
        <x:v>Compatible</x:v>
      </x:c>
      <x:c r="G111" s="199" t="str">
        <x:v>H100</x:v>
      </x:c>
      <x:c r="H111" s="6"/>
      <x:c r="I111" s="6"/>
      <x:c r="J111" s="6"/>
      <x:c r="K111" s="6"/>
      <x:c r="L111" s="6"/>
    </x:row>
    <x:row r="112" ht="20" customHeight="1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</x:row>
    <x:row r="113" ht="20" customHeight="1">
      <x:c r="A113" s="6"/>
      <x:c r="B113" s="6"/>
      <x:c r="C113" s="6"/>
      <x:c r="D113" s="6"/>
      <x:c r="E113" s="6"/>
      <x:c r="F113" s="6"/>
      <x:c r="G113" s="6"/>
      <x:c r="H113" s="6"/>
      <x:c r="I113" s="6"/>
      <x:c r="J113" s="6"/>
      <x:c r="K113" s="6"/>
      <x:c r="L113" s="6"/>
    </x:row>
    <x:row r="114" ht="20" customHeight="1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</x:row>
    <x:row r="115" ht="20" customHeight="1">
      <x:c r="A115" s="6"/>
      <x:c r="B115" s="6"/>
      <x:c r="C115" s="6"/>
      <x:c r="D115" s="6"/>
      <x:c r="E115" s="6"/>
      <x:c r="F115" s="6"/>
      <x:c r="G115" s="6"/>
      <x:c r="H115" s="6"/>
      <x:c r="I115" s="6"/>
      <x:c r="J115" s="6"/>
      <x:c r="K115" s="6"/>
      <x:c r="L115" s="6"/>
    </x:row>
    <x:row r="116" ht="20" customHeight="1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</x:row>
    <x:row r="117" ht="20" customHeight="1">
      <x:c r="A117" s="6"/>
      <x:c r="B117" s="6"/>
      <x:c r="C117" s="6"/>
      <x:c r="D117" s="6"/>
      <x:c r="E117" s="6"/>
      <x:c r="F117" s="6"/>
      <x:c r="G117" s="6"/>
      <x:c r="H117" s="6"/>
      <x:c r="I117" s="6"/>
      <x:c r="J117" s="6"/>
      <x:c r="K117" s="6"/>
      <x:c r="L117" s="6"/>
    </x:row>
    <x:row r="118" ht="20" customHeight="1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</x:row>
    <x:row r="119" ht="20" customHeight="1">
      <x:c r="A119" s="6"/>
      <x:c r="B119" s="6"/>
      <x:c r="C119" s="6"/>
      <x:c r="D119" s="6"/>
      <x:c r="E119" s="6"/>
      <x:c r="F119" s="6"/>
      <x:c r="G119" s="6"/>
      <x:c r="H119" s="6"/>
      <x:c r="I119" s="6"/>
      <x:c r="J119" s="6"/>
      <x:c r="K119" s="6"/>
      <x:c r="L119" s="6"/>
    </x:row>
    <x:row r="120" ht="20" customHeight="1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</x:row>
    <x:row r="121" ht="20" customHeight="1">
      <x:c r="A121" s="6"/>
      <x:c r="B121" s="6"/>
      <x:c r="C121" s="6"/>
      <x:c r="D121" s="6"/>
      <x:c r="E121" s="6"/>
      <x:c r="F121" s="6"/>
      <x:c r="G121" s="6"/>
      <x:c r="H121" s="6"/>
      <x:c r="I121" s="6"/>
      <x:c r="J121" s="6"/>
      <x:c r="K121" s="6"/>
      <x:c r="L121" s="6"/>
    </x:row>
    <x:row r="122" ht="20" customHeight="1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</x:row>
    <x:row r="123" ht="20" customHeight="1">
      <x:c r="A123" s="6"/>
      <x:c r="B123" s="6"/>
      <x:c r="C123" s="6"/>
      <x:c r="D123" s="6"/>
      <x:c r="E123" s="6"/>
      <x:c r="F123" s="6"/>
      <x:c r="G123" s="6"/>
      <x:c r="H123" s="6"/>
      <x:c r="I123" s="6"/>
      <x:c r="J123" s="6"/>
      <x:c r="K123" s="6"/>
      <x:c r="L123" s="6"/>
    </x:row>
    <x:row r="124" ht="20" customHeight="1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</x:row>
    <x:row r="125" ht="20" customHeight="1">
      <x:c r="A125" s="6"/>
      <x:c r="B125" s="6"/>
      <x:c r="C125" s="6"/>
      <x:c r="D125" s="6"/>
      <x:c r="E125" s="6"/>
      <x:c r="F125" s="6"/>
      <x:c r="G125" s="6"/>
      <x:c r="H125" s="6"/>
      <x:c r="I125" s="6"/>
      <x:c r="J125" s="6"/>
      <x:c r="K125" s="6"/>
      <x:c r="L125" s="6"/>
    </x:row>
    <x:row r="126" ht="20" customHeight="1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</x:row>
    <x:row r="127" ht="20" customHeight="1">
      <x:c r="A127" s="6"/>
      <x:c r="B127" s="6"/>
      <x:c r="C127" s="6"/>
      <x:c r="D127" s="6"/>
      <x:c r="E127" s="6"/>
      <x:c r="F127" s="6"/>
      <x:c r="G127" s="6"/>
      <x:c r="H127" s="6"/>
      <x:c r="I127" s="6"/>
      <x:c r="J127" s="6"/>
      <x:c r="K127" s="6"/>
      <x:c r="L127" s="6"/>
    </x:row>
    <x:row r="128" ht="20" customHeight="1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</x:row>
    <x:row r="129" ht="20" customHeight="1">
      <x:c r="A129" s="6"/>
      <x:c r="B129" s="6"/>
      <x:c r="C129" s="6"/>
      <x:c r="D129" s="6"/>
      <x:c r="E129" s="6"/>
      <x:c r="F129" s="6"/>
      <x:c r="G129" s="6"/>
      <x:c r="H129" s="6"/>
      <x:c r="I129" s="6"/>
      <x:c r="J129" s="6"/>
      <x:c r="K129" s="6"/>
      <x:c r="L129" s="6"/>
    </x:row>
    <x:row r="130" ht="20" customHeight="1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</x:row>
    <x:row r="131" ht="20" customHeight="1">
      <x:c r="A131" s="6"/>
      <x:c r="B131" s="6"/>
      <x:c r="C131" s="6"/>
      <x:c r="D131" s="6"/>
      <x:c r="E131" s="6"/>
      <x:c r="F131" s="6"/>
      <x:c r="G131" s="6"/>
      <x:c r="H131" s="6"/>
      <x:c r="I131" s="6"/>
      <x:c r="J131" s="6"/>
      <x:c r="K131" s="6"/>
      <x:c r="L131" s="6"/>
    </x:row>
    <x:row r="132" ht="20" customHeight="1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</x:row>
    <x:row r="133" ht="20" customHeight="1">
      <x:c r="A133" s="6"/>
      <x:c r="B133" s="6"/>
      <x:c r="C133" s="6"/>
      <x:c r="D133" s="6"/>
      <x:c r="E133" s="6"/>
      <x:c r="F133" s="6"/>
      <x:c r="G133" s="6"/>
      <x:c r="H133" s="6"/>
      <x:c r="I133" s="6"/>
      <x:c r="J133" s="6"/>
      <x:c r="K133" s="6"/>
      <x:c r="L133" s="6"/>
    </x:row>
    <x:row r="134" ht="20" customHeight="1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</x:row>
    <x:row r="135" ht="20" customHeight="1">
      <x:c r="A135" s="6"/>
      <x:c r="B135" s="6"/>
      <x:c r="C135" s="6"/>
      <x:c r="D135" s="6"/>
      <x:c r="E135" s="6"/>
      <x:c r="F135" s="6"/>
      <x:c r="G135" s="6"/>
      <x:c r="H135" s="6"/>
      <x:c r="I135" s="6"/>
      <x:c r="J135" s="6"/>
      <x:c r="K135" s="6"/>
      <x:c r="L135" s="6"/>
    </x:row>
    <x:row r="136" ht="20" customHeight="1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</x:row>
    <x:row r="137" ht="20" customHeight="1">
      <x:c r="A137" s="6"/>
      <x:c r="B137" s="6"/>
      <x:c r="C137" s="6"/>
      <x:c r="D137" s="6"/>
      <x:c r="E137" s="6"/>
      <x:c r="F137" s="6"/>
      <x:c r="G137" s="6"/>
      <x:c r="H137" s="6"/>
      <x:c r="I137" s="6"/>
      <x:c r="J137" s="6"/>
      <x:c r="K137" s="6"/>
      <x:c r="L137" s="6"/>
    </x:row>
    <x:row r="138" ht="20" customHeight="1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</x:row>
    <x:row r="139" ht="20" customHeight="1">
      <x:c r="A139" s="6"/>
      <x:c r="B139" s="6"/>
      <x:c r="C139" s="6"/>
      <x:c r="D139" s="6"/>
      <x:c r="E139" s="6"/>
      <x:c r="F139" s="6"/>
      <x:c r="G139" s="6"/>
      <x:c r="H139" s="6"/>
      <x:c r="I139" s="6"/>
      <x:c r="J139" s="6"/>
      <x:c r="K139" s="6"/>
      <x:c r="L139" s="6"/>
    </x:row>
    <x:row r="140" ht="20" customHeight="1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</x:row>
    <x:row r="141" ht="20" customHeight="1">
      <x:c r="A141" s="6"/>
      <x:c r="B141" s="6"/>
      <x:c r="C141" s="6"/>
      <x:c r="D141" s="6"/>
      <x:c r="E141" s="6"/>
      <x:c r="F141" s="6"/>
      <x:c r="G141" s="6"/>
      <x:c r="H141" s="6"/>
      <x:c r="I141" s="6"/>
      <x:c r="J141" s="6"/>
      <x:c r="K141" s="6"/>
      <x:c r="L141" s="6"/>
    </x:row>
    <x:row r="142" ht="20" customHeight="1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</x:row>
    <x:row r="143" ht="20" customHeight="1">
      <x:c r="A143" s="6"/>
      <x:c r="B143" s="6"/>
      <x:c r="C143" s="6"/>
      <x:c r="D143" s="6"/>
      <x:c r="E143" s="6"/>
      <x:c r="F143" s="6"/>
      <x:c r="G143" s="6"/>
      <x:c r="H143" s="6"/>
      <x:c r="I143" s="6"/>
      <x:c r="J143" s="6"/>
      <x:c r="K143" s="6"/>
      <x:c r="L143" s="6"/>
    </x:row>
    <x:row r="144" ht="20" customHeight="1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</x:row>
    <x:row r="145" ht="20" customHeight="1">
      <x:c r="A145" s="6"/>
      <x:c r="B145" s="6"/>
      <x:c r="C145" s="6"/>
      <x:c r="D145" s="6"/>
      <x:c r="E145" s="6"/>
      <x:c r="F145" s="6"/>
      <x:c r="G145" s="6"/>
      <x:c r="H145" s="6"/>
      <x:c r="I145" s="6"/>
      <x:c r="J145" s="6"/>
      <x:c r="K145" s="6"/>
      <x:c r="L145" s="6"/>
    </x:row>
    <x:row r="146" ht="20" customHeight="1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</x:row>
    <x:row r="147" ht="20" customHeight="1">
      <x:c r="A147" s="6"/>
      <x:c r="B147" s="6"/>
      <x:c r="C147" s="6"/>
      <x:c r="D147" s="6"/>
      <x:c r="E147" s="6"/>
      <x:c r="F147" s="6"/>
      <x:c r="G147" s="6"/>
      <x:c r="H147" s="6"/>
      <x:c r="I147" s="6"/>
      <x:c r="J147" s="6"/>
      <x:c r="K147" s="6"/>
      <x:c r="L147" s="6"/>
    </x:row>
    <x:row r="148" ht="20" customHeight="1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</x:row>
    <x:row r="149" ht="20" customHeight="1">
      <x:c r="A149" s="6"/>
      <x:c r="B149" s="6"/>
      <x:c r="C149" s="6"/>
      <x:c r="D149" s="6"/>
      <x:c r="E149" s="6"/>
      <x:c r="F149" s="6"/>
      <x:c r="G149" s="6"/>
      <x:c r="H149" s="6"/>
      <x:c r="I149" s="6"/>
      <x:c r="J149" s="6"/>
      <x:c r="K149" s="6"/>
      <x:c r="L149" s="6"/>
    </x:row>
    <x:row r="150" ht="20" customHeight="1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</x:row>
    <x:row r="151" ht="20" customHeight="1">
      <x:c r="A151" s="6"/>
      <x:c r="B151" s="6"/>
      <x:c r="C151" s="6"/>
      <x:c r="D151" s="6"/>
      <x:c r="E151" s="6"/>
      <x:c r="F151" s="6"/>
      <x:c r="G151" s="6"/>
      <x:c r="H151" s="6"/>
      <x:c r="I151" s="6"/>
      <x:c r="J151" s="6"/>
      <x:c r="K151" s="6"/>
      <x:c r="L151" s="6"/>
    </x:row>
    <x:row r="152" ht="20" customHeight="1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</x:row>
    <x:row r="153" ht="20" customHeight="1">
      <x:c r="A153" s="6"/>
      <x:c r="B153" s="6"/>
      <x:c r="C153" s="6"/>
      <x:c r="D153" s="6"/>
      <x:c r="E153" s="6"/>
      <x:c r="F153" s="6"/>
      <x:c r="G153" s="6"/>
      <x:c r="H153" s="6"/>
      <x:c r="I153" s="6"/>
      <x:c r="J153" s="6"/>
      <x:c r="K153" s="6"/>
      <x:c r="L153" s="6"/>
    </x:row>
    <x:row r="154" ht="20" customHeight="1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</x:row>
    <x:row r="155" ht="20" customHeight="1">
      <x:c r="A155" s="6"/>
      <x:c r="B155" s="6"/>
      <x:c r="C155" s="6"/>
      <x:c r="D155" s="6"/>
      <x:c r="E155" s="6"/>
      <x:c r="F155" s="6"/>
      <x:c r="G155" s="6"/>
      <x:c r="H155" s="6"/>
      <x:c r="I155" s="6"/>
      <x:c r="J155" s="6"/>
      <x:c r="K155" s="6"/>
      <x:c r="L155" s="6"/>
    </x:row>
    <x:row r="156" ht="20" customHeight="1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</x:row>
    <x:row r="157" ht="20" customHeight="1">
      <x:c r="A157" s="6"/>
      <x:c r="B157" s="6"/>
      <x:c r="C157" s="6"/>
      <x:c r="D157" s="6"/>
      <x:c r="E157" s="6"/>
      <x:c r="F157" s="6"/>
      <x:c r="G157" s="6"/>
      <x:c r="H157" s="6"/>
      <x:c r="I157" s="6"/>
      <x:c r="J157" s="6"/>
      <x:c r="K157" s="6"/>
      <x:c r="L157" s="6"/>
    </x:row>
    <x:row r="158" ht="20" customHeight="1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</x:row>
    <x:row r="159" ht="20" customHeight="1">
      <x:c r="A159" s="6"/>
      <x:c r="B159" s="6"/>
      <x:c r="C159" s="6"/>
      <x:c r="D159" s="6"/>
      <x:c r="E159" s="6"/>
      <x:c r="F159" s="6"/>
      <x:c r="G159" s="6"/>
      <x:c r="H159" s="6"/>
      <x:c r="I159" s="6"/>
      <x:c r="J159" s="6"/>
      <x:c r="K159" s="6"/>
      <x:c r="L159" s="6"/>
    </x:row>
    <x:row r="160" ht="20" customHeight="1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</x:row>
  </x:sheetData>
  <x:mergeCells>
    <x:mergeCell ref="A1:L1"/>
    <x:mergeCell ref="A2:L2"/>
    <x:mergeCell ref="A4:D4"/>
    <x:mergeCell ref="A34:D34"/>
    <x:mergeCell ref="A49:D49"/>
    <x:mergeCell ref="A67:D67"/>
    <x:mergeCell ref="A78:D78"/>
    <x:mergeCell ref="A90:D90"/>
    <x:mergeCell ref="A107:D107"/>
    <x:mergeCell ref="F4:K4"/>
    <x:mergeCell ref="F15:K15"/>
    <x:mergeCell ref="F33:K33"/>
    <x:mergeCell ref="G46:K46"/>
    <x:mergeCell ref="F22:G22"/>
    <x:mergeCell ref="A100:D100"/>
  </x:mergeCells>
  <x:conditionalFormatting sqref="G13:G13">
    <x:cfRule type="cellIs" dxfId="0" priority="1" operator="lessThan">
      <x:formula>0</x:formula>
    </x:cfRule>
  </x:conditionalFormatting>
  <x:dataValidations count="19">
    <x:dataValidation type="list" sqref="B7">
      <x:formula1>INDIRECT("'04 Guide Assumptions'!$F$26:$F$55")</x:formula1>
    </x:dataValidation>
    <x:dataValidation type="list" sqref="B14">
      <x:formula1>"Sequential,Concurrent"</x:formula1>
    </x:dataValidation>
    <x:dataValidation type="list" sqref="B21">
      <x:formula1>"Pending,Continue,Stop"</x:formula1>
    </x:dataValidation>
    <x:dataValidation type="list" sqref="B23">
      <x:formula1>"Yes,No"</x:formula1>
    </x:dataValidation>
    <x:dataValidation type="list" sqref="B79">
      <x:formula1>"Yes,No"</x:formula1>
    </x:dataValidation>
    <x:dataValidation type="list" sqref="B81">
      <x:formula1>"Yes,No"</x:formula1>
    </x:dataValidation>
    <x:dataValidation type="list" sqref="B24">
      <x:formula1>"Shared,Dedicated"</x:formula1>
    </x:dataValidation>
    <x:dataValidation type="list" sqref="B80">
      <x:formula1>"Auto,PayGo,Extend,Reserve,Existing only,BYOC"</x:formula1>
    </x:dataValidation>
    <x:dataValidation type="list" sqref="B101">
      <x:formula1>"Yes,No"</x:formula1>
    </x:dataValidation>
    <x:dataValidation type="list" sqref="B102">
      <x:formula1>"Yes,No"</x:formula1>
    </x:dataValidation>
    <x:dataValidation type="list" sqref="B103">
      <x:formula1>"H100,B200,B300,Other"</x:formula1>
    </x:dataValidation>
    <x:dataValidation type="list" sqref="G109">
      <x:formula1>"H100,B200,B300,Other"</x:formula1>
    </x:dataValidation>
    <x:dataValidation type="list" sqref="G110">
      <x:formula1>"H100,B200,B300,Other"</x:formula1>
    </x:dataValidation>
    <x:dataValidation type="list" sqref="G111">
      <x:formula1>"H100,B200,B300,Other"</x:formula1>
    </x:dataValidation>
    <x:dataValidation type="list" sqref="B104">
      <x:formula1>"Yes,No"</x:formula1>
    </x:dataValidation>
    <x:dataValidation type="list" sqref="B9">
      <x:formula1>"GRPO,SFT,OPSD (online),OPSD (offline),RMSD,Decision training,Other / custom"</x:formula1>
    </x:dataValidation>
    <x:dataValidation type="list" sqref="B15">
      <x:formula1>"Held-out pass rate,Task success rate,Held-out accuracy,Grader pass rate,Rubric score (0–1)"</x:formula1>
    </x:dataValidation>
    <x:dataValidation type="list" sqref="B33">
      <x:formula1>"Customer supplies by kickoff,Ready / validated,Access pending,Not available"</x:formula1>
    </x:dataValidation>
    <x:dataValidation type="list" sqref="F109:F111">
      <x:formula1>"Compatible,Needs verification,Incompatible"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7" hidden="0" customWidth="1"/>
    <x:col min="4" max="4" width="20" hidden="0" customWidth="1"/>
    <x:col min="5" max="5" width="3" hidden="0" customWidth="1"/>
    <x:col min="6" max="6" width="23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</x:cols>
  <x:sheetData>
    <x:row r="1" ht="37" customHeight="1">
      <x:c r="A1" s="10" t="str">
        <x:v>DEAL ECONOMICS + GPU CAPACITY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</x:row>
    <x:row r="2" ht="27" customHeight="1">
      <x:c r="A2" s="16" t="str">
        <x:v>Automatic calculations - demand, feasible capacity, incremental cash, fully loaded delivery COGS, and recommended quote.</x:v>
      </x:c>
      <x:c r="B2" s="16"/>
      <x:c r="C2" s="16"/>
      <x:c r="D2" s="16"/>
      <x:c r="E2" s="16"/>
      <x:c r="F2" s="16"/>
      <x:c r="G2" s="16"/>
      <x:c r="H2" s="16"/>
      <x:c r="I2" s="16"/>
      <x:c r="J2" s="16"/>
      <x:c r="K2" s="16"/>
      <x:c r="L2" s="16"/>
    </x:row>
    <x:row r="3" ht="20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</x:row>
    <x:row r="4" ht="24" customHeight="1">
      <x:c r="A4" s="21" t="str">
        <x:v>1   DEMAND -&gt; GPU-HOURS</x:v>
      </x:c>
      <x:c r="B4" s="21"/>
      <x:c r="C4" s="21"/>
      <x:c r="D4" s="21"/>
      <x:c r="E4" s="6"/>
      <x:c r="F4" s="21" t="str">
        <x:v>HOW TO INTERPRET THE COSTS</x:v>
      </x:c>
      <x:c r="G4" s="21"/>
      <x:c r="H4" s="21"/>
      <x:c r="I4" s="21"/>
      <x:c r="J4" s="21"/>
      <x:c r="K4" s="21"/>
      <x:c r="L4" s="21"/>
    </x:row>
    <x:row r="5" ht="36" customHeight="1">
      <x:c r="A5" s="6" t="str">
        <x:v>Selected model</x:v>
      </x:c>
      <x:c r="B5" s="40" t="str">
        <x:f>'01 Deal Setup'!B7</x:f>
        <x:v>Qwen3.6-35B-A3B</x:v>
      </x:c>
      <x:c r="C5" s="6"/>
      <x:c r="D5" s="6"/>
      <x:c r="E5" s="6"/>
      <x:c r="F5" s="158" t="str">
        <x:v>Demand</x:v>
      </x:c>
      <x:c r="G5" s="72" t="str">
        <x:v>Tokens, rollouts, evals</x:v>
      </x:c>
      <x:c r="H5" s="160" t="str">
        <x:v>Customer-controlled scope</x:v>
      </x:c>
      <x:c r="I5" s="6"/>
      <x:c r="J5" s="6"/>
      <x:c r="K5" s="6"/>
      <x:c r="L5" s="6"/>
    </x:row>
    <x:row r="6" ht="36" customHeight="1">
      <x:c r="A6" s="6" t="str">
        <x:v>Proxy throughput factor (benchmark required)</x:v>
      </x:c>
      <x:c r="B6" s="40" t="n">
        <x:f>IF('01 Deal Setup'!$G$31=1,2.5,IF('01 Deal Setup'!$G$31=2,1,0.5))</x:f>
        <x:v>1</x:v>
      </x:c>
      <x:c r="C6" s="6" t="str">
        <x:v>x</x:v>
      </x:c>
      <x:c r="D6" s="6"/>
      <x:c r="E6" s="6"/>
      <x:c r="F6" s="158" t="str">
        <x:v>Performance</x:v>
      </x:c>
      <x:c r="G6" s="72" t="str">
        <x:v>Model-specific throughput</x:v>
      </x:c>
      <x:c r="H6" s="160" t="str">
        <x:v>Replace with measured benchmarks</x:v>
      </x:c>
      <x:c r="I6" s="6"/>
      <x:c r="J6" s="6"/>
      <x:c r="K6" s="6"/>
      <x:c r="L6" s="6"/>
    </x:row>
    <x:row r="7" ht="36" customHeight="1">
      <x:c r="A7" s="6" t="str">
        <x:v>Planning trainer GPUs</x:v>
      </x:c>
      <x:c r="B7" s="42" t="n">
        <x:f>MAX(1,ROUND('01 Deal Setup'!B46*IF('01 Deal Setup'!$G$31=1,0.5,IF('01 Deal Setup'!$G$31=2,1,2)),0))</x:f>
        <x:v>8</x:v>
      </x:c>
      <x:c r="C7" s="6" t="str">
        <x:v>GPUs</x:v>
      </x:c>
      <x:c r="D7" s="6"/>
      <x:c r="E7" s="6"/>
      <x:c r="F7" s="158" t="str">
        <x:v>Capacity</x:v>
      </x:c>
      <x:c r="G7" s="72" t="str">
        <x:v>Peak GPUs and timing</x:v>
      </x:c>
      <x:c r="H7" s="160" t="str">
        <x:v>Availability is not GPU-hours alone</x:v>
      </x:c>
      <x:c r="I7" s="6"/>
      <x:c r="J7" s="6"/>
      <x:c r="K7" s="6"/>
      <x:c r="L7" s="6"/>
    </x:row>
    <x:row r="8" ht="36" customHeight="1">
      <x:c r="A8" s="6" t="str">
        <x:v>Planning rollout GPUs</x:v>
      </x:c>
      <x:c r="B8" s="42" t="n">
        <x:f>MAX(1,ROUND('01 Deal Setup'!B47*IF('01 Deal Setup'!$G$31=1,0.5,IF('01 Deal Setup'!$G$31=2,1,2)),0))</x:f>
        <x:v>8</x:v>
      </x:c>
      <x:c r="C8" s="6" t="str">
        <x:v>GPUs</x:v>
      </x:c>
      <x:c r="D8" s="6"/>
      <x:c r="E8" s="6"/>
      <x:c r="F8" s="158" t="str">
        <x:v>New capacity cash</x:v>
      </x:c>
      <x:c r="G8" s="72" t="str">
        <x:v>What we must newly buy</x:v>
      </x:c>
      <x:c r="H8" s="160" t="str">
        <x:v>PayGo vs extension vs reservation</x:v>
      </x:c>
      <x:c r="I8" s="6"/>
      <x:c r="J8" s="6"/>
      <x:c r="K8" s="6"/>
      <x:c r="L8" s="6"/>
    </x:row>
    <x:row r="9" ht="36" customHeight="1">
      <x:c r="A9" s="6" t="str">
        <x:v>Planning eval GPUs</x:v>
      </x:c>
      <x:c r="B9" s="42" t="n">
        <x:f>MAX(1,ROUND('01 Deal Setup'!B48*IF('01 Deal Setup'!$G$31=1,0.5,IF('01 Deal Setup'!$G$31=2,1,2)),0))</x:f>
        <x:v>4</x:v>
      </x:c>
      <x:c r="C9" s="6" t="str">
        <x:v>GPUs</x:v>
      </x:c>
      <x:c r="D9" s="6"/>
      <x:c r="E9" s="6"/>
      <x:c r="F9" s="158" t="str">
        <x:v>Allocated existing</x:v>
      </x:c>
      <x:c r="G9" s="72" t="str">
        <x:v>Already-paid GPU value</x:v>
      </x:c>
      <x:c r="H9" s="160" t="str">
        <x:v>Gross-margin lens, not new cash</x:v>
      </x:c>
      <x:c r="I9" s="6"/>
      <x:c r="J9" s="6"/>
      <x:c r="K9" s="6"/>
      <x:c r="L9" s="6"/>
    </x:row>
    <x:row r="10" ht="36" customHeight="1">
      <x:c r="A10" s="6" t="str">
        <x:v>Authorized RL cycles</x:v>
      </x:c>
      <x:c r="B10" s="42" t="n">
        <x:f>'01 Deal Setup'!B10</x:f>
        <x:v>3</x:v>
      </x:c>
      <x:c r="C10" s="6" t="str">
        <x:v>cycles</x:v>
      </x:c>
      <x:c r="D10" s="6"/>
      <x:c r="E10" s="6"/>
      <x:c r="F10" s="158" t="str">
        <x:v>Opportunity</x:v>
      </x:c>
      <x:c r="G10" s="72" t="str">
        <x:v>Lost alternative contribution</x:v>
      </x:c>
      <x:c r="H10" s="160" t="str">
        <x:v>Economic choice, not accounting COGS</x:v>
      </x:c>
      <x:c r="I10" s="6"/>
      <x:c r="J10" s="6"/>
      <x:c r="K10" s="6"/>
      <x:c r="L10" s="6"/>
    </x:row>
    <x:row r="11" ht="36" customHeight="1">
      <x:c r="A11" s="6"/>
      <x:c r="B11" s="6"/>
      <x:c r="C11" s="6"/>
      <x:c r="D11" s="6"/>
      <x:c r="E11" s="6"/>
      <x:c r="F11" s="158" t="str">
        <x:v>Customer quote</x:v>
      </x:c>
      <x:c r="G11" s="72" t="str">
        <x:v>Itemized fee + explicit uplift</x:v>
      </x:c>
      <x:c r="H11" s="160" t="str">
        <x:v>Margin target is a proposed policy</x:v>
      </x:c>
      <x:c r="I11" s="6"/>
      <x:c r="J11" s="6"/>
      <x:c r="K11" s="6"/>
      <x:c r="L11" s="6"/>
    </x:row>
    <x:row r="12" ht="24" customHeight="1">
      <x:c r="A12" s="21" t="str">
        <x:v>2   TOTAL WORKLOAD (ALL APPROVED CYCLES)</x:v>
      </x:c>
      <x:c r="B12" s="21"/>
      <x:c r="C12" s="21"/>
      <x:c r="D12" s="21"/>
      <x:c r="E12" s="6"/>
      <x:c r="F12" s="6"/>
      <x:c r="G12" s="6"/>
      <x:c r="H12" s="6"/>
      <x:c r="I12" s="6"/>
      <x:c r="J12" s="6"/>
      <x:c r="K12" s="6"/>
      <x:c r="L12" s="6"/>
    </x:row>
    <x:row r="13" ht="20" customHeight="1">
      <x:c r="A13" s="6" t="str">
        <x:v>Policy update tokens</x:v>
      </x:c>
      <x:c r="B13" s="42" t="n">
        <x:f>'01 Deal Setup'!B35*B10</x:f>
        <x:v>128000000.0000001</x:v>
      </x:c>
      <x:c r="C13" s="6" t="str">
        <x:v>tokens</x:v>
      </x:c>
      <x:c r="D13" s="6"/>
      <x:c r="E13" s="6"/>
      <x:c r="F13" s="6"/>
      <x:c r="G13" s="6"/>
      <x:c r="H13" s="6"/>
      <x:c r="I13" s="6"/>
      <x:c r="J13" s="6"/>
      <x:c r="K13" s="6"/>
      <x:c r="L13" s="6"/>
    </x:row>
    <x:row r="14" ht="20" customHeight="1">
      <x:c r="A14" s="6" t="str">
        <x:v>RL rollout attempts</x:v>
      </x:c>
      <x:c r="B14" s="42" t="n">
        <x:f>'01 Deal Setup'!B36*B10</x:f>
        <x:v>12000</x:v>
      </x:c>
      <x:c r="C14" s="6" t="str">
        <x:v>attempts</x:v>
      </x:c>
      <x:c r="D14" s="6"/>
      <x:c r="E14" s="6"/>
      <x:c r="F14" s="164" t="str">
        <x:v>Supplier rates, GPU fit, commitment dates, and throughput are unverified sample inputs; DO NOT issue a live quote without checking them.</x:v>
      </x:c>
      <x:c r="G14" s="164"/>
      <x:c r="H14" s="164"/>
      <x:c r="I14" s="164"/>
      <x:c r="J14" s="164"/>
      <x:c r="K14" s="164"/>
      <x:c r="L14" s="164"/>
    </x:row>
    <x:row r="15" ht="20" customHeight="1">
      <x:c r="A15" s="6" t="str">
        <x:v>Rollout equivalent tokens</x:v>
      </x:c>
      <x:c r="B15" s="42" t="n">
        <x:f>B14*('01 Deal Setup'!B37*'01 Deal Setup'!B39+'01 Deal Setup'!B38)</x:f>
        <x:v>192000000</x:v>
      </x:c>
      <x:c r="C15" s="6" t="str">
        <x:v>equiv tokens</x:v>
      </x:c>
      <x:c r="D15" s="6"/>
      <x:c r="E15" s="6"/>
      <x:c r="F15" s="164"/>
      <x:c r="G15" s="164"/>
      <x:c r="H15" s="164"/>
      <x:c r="I15" s="164"/>
      <x:c r="J15" s="164"/>
      <x:c r="K15" s="164"/>
      <x:c r="L15" s="164"/>
    </x:row>
    <x:row r="16" ht="20" customHeight="1">
      <x:c r="A16" s="6" t="str">
        <x:v>Total eval cases</x:v>
      </x:c>
      <x:c r="B16" s="42" t="n">
        <x:f>'01 Deal Setup'!B41+B10*'01 Deal Setup'!B40</x:f>
        <x:v>800</x:v>
      </x:c>
      <x:c r="C16" s="6" t="str">
        <x:v>cases</x:v>
      </x:c>
      <x:c r="D16" s="6"/>
      <x:c r="E16" s="6"/>
      <x:c r="F16" s="164"/>
      <x:c r="G16" s="164"/>
      <x:c r="H16" s="164"/>
      <x:c r="I16" s="164"/>
      <x:c r="J16" s="164"/>
      <x:c r="K16" s="164"/>
      <x:c r="L16" s="164"/>
    </x:row>
    <x:row r="17" ht="20" customHeight="1">
      <x:c r="A17" s="6" t="str">
        <x:v>Eval equivalent tokens</x:v>
      </x:c>
      <x:c r="B17" s="42" t="n">
        <x:f>B16*'01 Deal Setup'!B42</x:f>
        <x:v>16000000</x:v>
      </x:c>
      <x:c r="C17" s="6" t="str">
        <x:v>equiv tokens</x:v>
      </x:c>
      <x:c r="D17" s="6"/>
      <x:c r="E17" s="6"/>
      <x:c r="F17" s="6"/>
      <x:c r="G17" s="6"/>
      <x:c r="H17" s="6"/>
      <x:c r="I17" s="6"/>
      <x:c r="J17" s="6"/>
      <x:c r="K17" s="6"/>
      <x:c r="L17" s="6"/>
    </x:row>
    <x:row r="18" ht="20" customHeight="1">
      <x:c r="A18" s="6" t="str">
        <x:v>Policy update GPU-hours</x:v>
      </x:c>
      <x:c r="B18" s="104" t="n">
        <x:f>IF('01 Deal Setup'!B43&lt;=0,0,B13/('01 Deal Setup'!B43*B6))</x:f>
        <x:v>1280.0000000000011</x:v>
      </x:c>
      <x:c r="C18" s="6" t="str">
        <x:v>GPU-hours</x:v>
      </x:c>
      <x:c r="D18" s="6"/>
      <x:c r="E18" s="6"/>
      <x:c r="F18" s="6"/>
      <x:c r="G18" s="6"/>
      <x:c r="H18" s="6"/>
      <x:c r="I18" s="6"/>
      <x:c r="J18" s="6"/>
      <x:c r="K18" s="6"/>
      <x:c r="L18" s="6"/>
    </x:row>
    <x:row r="19" ht="20" customHeight="1">
      <x:c r="A19" s="6" t="str">
        <x:v>Rollout GPU-hours</x:v>
      </x:c>
      <x:c r="B19" s="104" t="n">
        <x:f>IF('01 Deal Setup'!B44&lt;=0,0,B15/('01 Deal Setup'!B44*B6))</x:f>
        <x:v>1920</x:v>
      </x:c>
      <x:c r="C19" s="6" t="str">
        <x:v>GPU-hours</x:v>
      </x:c>
      <x:c r="D19" s="6"/>
      <x:c r="E19" s="6"/>
      <x:c r="F19" s="6"/>
      <x:c r="G19" s="6"/>
      <x:c r="H19" s="6"/>
      <x:c r="I19" s="6"/>
      <x:c r="J19" s="6"/>
      <x:c r="K19" s="6"/>
      <x:c r="L19" s="6"/>
    </x:row>
    <x:row r="20" ht="20" customHeight="1">
      <x:c r="A20" s="6" t="str">
        <x:v>Evaluation GPU-hours</x:v>
      </x:c>
      <x:c r="B20" s="104" t="n">
        <x:f>IF('01 Deal Setup'!B45&lt;=0,0,B17/('01 Deal Setup'!B45*B6))</x:f>
        <x:v>160</x:v>
      </x:c>
      <x:c r="C20" s="6" t="str">
        <x:v>GPU-hours</x:v>
      </x:c>
      <x:c r="D20" s="6"/>
      <x:c r="E20" s="6"/>
      <x:c r="F20" s="6"/>
      <x:c r="G20" s="6"/>
      <x:c r="H20" s="6"/>
      <x:c r="I20" s="6"/>
      <x:c r="J20" s="6"/>
      <x:c r="K20" s="6"/>
      <x:c r="L20" s="6"/>
    </x:row>
    <x:row r="21" ht="20" customHeight="1">
      <x:c r="A21" s="130" t="str">
        <x:v>Total workload GPU-hours</x:v>
      </x:c>
      <x:c r="B21" s="131" t="n">
        <x:f>SUM(B18:B20)</x:f>
        <x:v>3360.000000000001</x:v>
      </x:c>
      <x:c r="C21" s="130" t="str">
        <x:v>GPU-hours</x:v>
      </x:c>
      <x:c r="D21" s="6"/>
      <x:c r="E21" s="6"/>
      <x:c r="F21" s="6"/>
      <x:c r="G21" s="6"/>
      <x:c r="H21" s="6"/>
      <x:c r="I21" s="6"/>
      <x:c r="J21" s="6"/>
      <x:c r="K21" s="6"/>
      <x:c r="L21" s="6"/>
    </x:row>
    <x:row r="22" ht="20" customHeight="1">
      <x:c r="A22" s="6" t="str">
        <x:v>Trainer GPU-hours per cycle</x:v>
      </x:c>
      <x:c r="B22" s="104" t="n">
        <x:f>IF(B10=0,0,B18/B10)</x:f>
        <x:v>426.666666666667</x:v>
      </x:c>
      <x:c r="C22" s="6" t="str">
        <x:v>GPUh / cycle</x:v>
      </x:c>
      <x:c r="D22" s="6"/>
      <x:c r="E22" s="6"/>
      <x:c r="F22" s="6"/>
      <x:c r="G22" s="6"/>
      <x:c r="H22" s="6"/>
      <x:c r="I22" s="6"/>
      <x:c r="J22" s="6"/>
      <x:c r="K22" s="6"/>
      <x:c r="L22" s="6"/>
    </x:row>
    <x:row r="23" ht="20" customHeight="1">
      <x:c r="A23" s="6" t="str">
        <x:v>Rollout GPU-hours per cycle</x:v>
      </x:c>
      <x:c r="B23" s="104" t="n">
        <x:f>IF(B10=0,0,B19/B10)</x:f>
        <x:v>640</x:v>
      </x:c>
      <x:c r="C23" s="6" t="str">
        <x:v>GPUh / cycle</x:v>
      </x:c>
      <x:c r="D23" s="6"/>
      <x:c r="E23" s="6"/>
      <x:c r="F23" s="6"/>
      <x:c r="G23" s="6"/>
      <x:c r="H23" s="6"/>
      <x:c r="I23" s="6"/>
      <x:c r="J23" s="6"/>
      <x:c r="K23" s="6"/>
      <x:c r="L23" s="6"/>
    </x:row>
    <x:row r="24" ht="20" customHeight="1">
      <x:c r="A24" s="6" t="str">
        <x:v>Evaluation GPU-hours per cycle</x:v>
      </x:c>
      <x:c r="B24" s="104" t="n">
        <x:f>IF('01 Deal Setup'!B45&lt;=0,0,'01 Deal Setup'!B40*'01 Deal Setup'!B42/('01 Deal Setup'!B45*B6))</x:f>
        <x:v>40</x:v>
      </x:c>
      <x:c r="C24" s="6" t="str">
        <x:v>GPUh / cycle</x:v>
      </x:c>
      <x:c r="D24" s="6"/>
      <x:c r="E24" s="6"/>
      <x:c r="F24" s="6"/>
      <x:c r="G24" s="6"/>
      <x:c r="H24" s="6"/>
      <x:c r="I24" s="6"/>
      <x:c r="J24" s="6"/>
      <x:c r="K24" s="6"/>
      <x:c r="L24" s="6"/>
    </x:row>
    <x:row r="25" ht="20" customHeight="1">
      <x:c r="A25" s="6" t="str">
        <x:v>Baseline evaluation GPU-hours</x:v>
      </x:c>
      <x:c r="B25" s="104" t="n">
        <x:f>IF('01 Deal Setup'!B45&lt;=0,0,'01 Deal Setup'!B41*'01 Deal Setup'!B42/('01 Deal Setup'!B45*B6))</x:f>
        <x:v>40</x:v>
      </x:c>
      <x:c r="C25" s="6" t="str">
        <x:v>GPUh</x:v>
      </x:c>
      <x:c r="D25" s="6"/>
      <x:c r="E25" s="6"/>
      <x:c r="F25" s="6"/>
      <x:c r="G25" s="6"/>
      <x:c r="H25" s="6"/>
      <x:c r="I25" s="6"/>
      <x:c r="J25" s="6"/>
      <x:c r="K25" s="6"/>
      <x:c r="L25" s="6"/>
    </x:row>
    <x:row r="26" ht="20" customHeight="1">
      <x:c r="A26" s="6" t="str">
        <x:v>Peak GPU units in RL</x:v>
      </x:c>
      <x:c r="B26" s="42" t="n">
        <x:f>IF('01 Deal Setup'!B14="Concurrent",B7+B8,MAX(B7,B8))</x:f>
        <x:v>8</x:v>
      </x:c>
      <x:c r="C26" s="6" t="str">
        <x:v>GPUs</x:v>
      </x:c>
      <x:c r="D26" s="6"/>
      <x:c r="E26" s="6"/>
      <x:c r="F26" s="6"/>
      <x:c r="G26" s="6"/>
      <x:c r="H26" s="6"/>
      <x:c r="I26" s="6"/>
      <x:c r="J26" s="6"/>
      <x:c r="K26" s="6"/>
      <x:c r="L26" s="6"/>
    </x:row>
    <x:row r="27" ht="20" customHeight="1">
      <x:c r="A27" s="6" t="str">
        <x:v>RL activity wall-hours / cycle</x:v>
      </x:c>
      <x:c r="B27" s="104" t="n">
        <x:f>IF('01 Deal Setup'!B14="Concurrent",MAX(B22/B7,B23/B8),B22/B7+B23/B8)+B24/B9</x:f>
        <x:v>143.33333333333337</x:v>
      </x:c>
      <x:c r="C27" s="6" t="str">
        <x:v>hours</x:v>
      </x:c>
      <x:c r="D27" s="6"/>
      <x:c r="E27" s="6"/>
      <x:c r="F27" s="6"/>
      <x:c r="G27" s="6"/>
      <x:c r="H27" s="6"/>
      <x:c r="I27" s="6"/>
      <x:c r="J27" s="6"/>
      <x:c r="K27" s="6"/>
      <x:c r="L27" s="6"/>
    </x:row>
    <x:row r="28" ht="20" customHeight="1">
      <x:c r="A28" s="6" t="str">
        <x:v>Total planned weeks</x:v>
      </x:c>
      <x:c r="B28" s="42" t="n">
        <x:f>'01 Deal Setup'!B12+'01 Deal Setup'!B10*'01 Deal Setup'!B11+'01 Deal Setup'!B13</x:f>
        <x:v>6</x:v>
      </x:c>
      <x:c r="C28" s="6" t="str">
        <x:v>weeks</x:v>
      </x:c>
      <x:c r="D28" s="6"/>
      <x:c r="E28" s="6"/>
      <x:c r="F28" s="6"/>
      <x:c r="G28" s="6"/>
      <x:c r="H28" s="6"/>
      <x:c r="I28" s="6"/>
      <x:c r="J28" s="6"/>
      <x:c r="K28" s="6"/>
      <x:c r="L28" s="6"/>
    </x:row>
    <x:row r="29" ht="20" customHeight="1">
      <x:c r="A29" s="6"/>
      <x:c r="B29" s="6"/>
      <x:c r="C29" s="6"/>
      <x:c r="D29" s="6"/>
      <x:c r="E29" s="6"/>
      <x:c r="F29" s="6"/>
      <x:c r="G29" s="6"/>
      <x:c r="H29" s="6"/>
      <x:c r="I29" s="6"/>
      <x:c r="J29" s="6"/>
      <x:c r="K29" s="6"/>
      <x:c r="L29" s="6"/>
    </x:row>
    <x:row r="30" ht="24" customHeight="1">
      <x:c r="A30" s="21" t="str">
        <x:v>3   WEEK-BY-WEEK CAPACITY (WEEKS 1-16)</x:v>
      </x:c>
      <x:c r="B30" s="21"/>
      <x:c r="C30" s="21"/>
      <x:c r="D30" s="21"/>
      <x:c r="E30" s="6"/>
      <x:c r="F30" s="6"/>
      <x:c r="G30" s="6"/>
      <x:c r="H30" s="6"/>
      <x:c r="I30" s="6"/>
      <x:c r="J30" s="6"/>
      <x:c r="K30" s="6"/>
      <x:c r="L30" s="6"/>
    </x:row>
    <x:row r="31" ht="33" customHeight="1">
      <x:c r="A31" s="6"/>
      <x:c r="B31" s="108" t="str">
        <x:v>Week</x:v>
      </x:c>
      <x:c r="C31" s="108" t="str">
        <x:v>RL cycle?</x:v>
      </x:c>
      <x:c r="D31" s="108" t="str">
        <x:v>Policy GPUh</x:v>
      </x:c>
      <x:c r="E31" s="108" t="str">
        <x:v>Rollout GPUh</x:v>
      </x:c>
      <x:c r="F31" s="108" t="str">
        <x:v>Eval GPUh</x:v>
      </x:c>
      <x:c r="G31" s="108" t="str">
        <x:v>Total GPUh</x:v>
      </x:c>
      <x:c r="H31" s="108" t="str">
        <x:v>Peak GPUs</x:v>
      </x:c>
      <x:c r="I31" s="108" t="str">
        <x:v>Existing GPUs</x:v>
      </x:c>
      <x:c r="J31" s="108" t="str">
        <x:v>Need GPUs</x:v>
      </x:c>
      <x:c r="K31" s="108" t="str">
        <x:v>New GPUh</x:v>
      </x:c>
      <x:c r="L31" s="108" t="str">
        <x:v>Existing GPUh</x:v>
      </x:c>
      <x:c r="M31" s="109" t="str">
        <x:v>1wk cost</x:v>
      </x:c>
      <x:c r="N31" s="109" t="str">
        <x:v>First wk helper</x:v>
      </x:c>
      <x:c r="O31" s="109" t="str">
        <x:v>Last wk helper</x:v>
      </x:c>
      <x:c r="P31" s="109" t="str">
        <x:v>Status</x:v>
      </x:c>
    </x:row>
    <x:row r="32" ht="20" customHeight="1">
      <x:c r="A32" s="6"/>
      <x:c r="B32" s="6" t="n">
        <x:v>1</x:v>
      </x:c>
      <x:c r="C32" s="6" t="n">
        <x:f>IF(AND(B32&gt;'01 Deal Setup'!$B$12,B32&lt;='01 Deal Setup'!$B$12+'01 Deal Setup'!$B$10*'01 Deal Setup'!$B$11,MOD(B32-'01 Deal Setup'!$B$12-1,'01 Deal Setup'!$B$11)=0),1,0)</x:f>
        <x:v>0</x:v>
      </x:c>
      <x:c r="D32" s="116" t="n">
        <x:f>C32*$B$22</x:f>
        <x:v>0</x:v>
      </x:c>
      <x:c r="E32" s="116" t="n">
        <x:f>C32*$B$23</x:f>
        <x:v>0</x:v>
      </x:c>
      <x:c r="F32" s="116" t="n">
        <x:f>IF(B32='01 Deal Setup'!$B$12,$B$25,0)+IF(C32=1,$B$24,0)</x:f>
        <x:v>0</x:v>
      </x:c>
      <x:c r="G32" s="116" t="n">
        <x:f>SUM(D32:F32)</x:f>
        <x:v>0</x:v>
      </x:c>
      <x:c r="H32" s="6" t="n">
        <x:f>IF(C32=1,MAX($B$26,$B$9),IF(F32&gt;0,$B$9,0))</x:f>
        <x:v>0</x:v>
      </x:c>
      <x:c r="I32" s="6" t="n">
        <x:f>IF('01 Deal Setup'!$B$79="No",0,IF(AND(B32&gt;='01 Deal Setup'!$C$109,B32&lt;='01 Deal Setup'!$D$109,'01 Deal Setup'!$F$109="Compatible",'01 Deal Setup'!$G$109='01 Deal Setup'!$B$103),'01 Deal Setup'!$B$109,0)+IF(AND(B32&gt;='01 Deal Setup'!$C$110,B32&lt;='01 Deal Setup'!$D$110,'01 Deal Setup'!$F$110="Compatible",'01 Deal Setup'!$G$110='01 Deal Setup'!$B$103),'01 Deal Setup'!$B$110,0)+IF(AND(B32&gt;='01 Deal Setup'!$C$111,B32&lt;='01 Deal Setup'!$D$111,'01 Deal Setup'!$F$111="Compatible",'01 Deal Setup'!$G$111='01 Deal Setup'!$B$103),'01 Deal Setup'!$B$111,0))</x:f>
        <x:v>8</x:v>
      </x:c>
      <x:c r="J32" s="6" t="n">
        <x:f>MAX(0,H32-I32)</x:f>
        <x:v>0</x:v>
      </x:c>
      <x:c r="K32" s="116" t="n">
        <x:f>IF(C32=1,IF('01 Deal Setup'!$B$14="Concurrent",MAX(0,$B$8-I32)*$B$23/$B$8+MAX(0,$B$7-MAX(0,I32-$B$8))*$B$22/$B$7,MAX(0,H32-I32)*SUM(D32:E32)/MAX(1,H32)),0)+IF(F32&gt;0,MAX(0,$B$9-I32)*$F32/$B$9,0)</x:f>
        <x:v>0</x:v>
      </x:c>
      <x:c r="L32" s="116" t="n">
        <x:f>IF('01 Deal Setup'!$B$80="BYOC",0,G32-K32)</x:f>
        <x:v>0</x:v>
      </x:c>
      <x:c r="M32" s="120" t="n">
        <x:f>J32*'01 Deal Setup'!$B$86*'01 Deal Setup'!$B$83</x:f>
        <x:v>0</x:v>
      </x:c>
      <x:c r="N32" t="n">
        <x:f>IF(J32&gt;0,B32,999)</x:f>
        <x:v>999</x:v>
      </x:c>
      <x:c r="O32" t="n">
        <x:f>IF(J32&gt;0,B32,0)</x:f>
        <x:v>0</x:v>
      </x:c>
      <x:c r="P32" t="str">
        <x:f>IF(AND(J32&gt;0,OR('01 Deal Setup'!$B$80="Existing only",'01 Deal Setup'!$B$81="No")),"UNFUNDED",IF(AND(C32=1,$B$27&gt;'01 Deal Setup'!$B$86),"SLOW CYCLE",IF(G32=0,"-","PLANNED")))</x:f>
        <x:v>-</x:v>
      </x:c>
    </x:row>
    <x:row r="33" ht="20" customHeight="1">
      <x:c r="A33" s="6"/>
      <x:c r="B33" s="87" t="n">
        <x:v>2</x:v>
      </x:c>
      <x:c r="C33" s="87" t="n">
        <x:f>IF(AND(B33&gt;'01 Deal Setup'!$B$12,B33&lt;='01 Deal Setup'!$B$12+'01 Deal Setup'!$B$10*'01 Deal Setup'!$B$11,MOD(B33-'01 Deal Setup'!$B$12-1,'01 Deal Setup'!$B$11)=0),1,0)</x:f>
        <x:v>0</x:v>
      </x:c>
      <x:c r="D33" s="117" t="n">
        <x:f>C33*$B$22</x:f>
        <x:v>0</x:v>
      </x:c>
      <x:c r="E33" s="117" t="n">
        <x:f>C33*$B$23</x:f>
        <x:v>0</x:v>
      </x:c>
      <x:c r="F33" s="117" t="n">
        <x:f>IF(B33='01 Deal Setup'!$B$12,$B$25,0)+IF(C33=1,$B$24,0)</x:f>
        <x:v>40</x:v>
      </x:c>
      <x:c r="G33" s="117" t="n">
        <x:f>SUM(D33:F33)</x:f>
        <x:v>40</x:v>
      </x:c>
      <x:c r="H33" s="87" t="n">
        <x:f>IF(C33=1,MAX($B$26,$B$9),IF(F33&gt;0,$B$9,0))</x:f>
        <x:v>4</x:v>
      </x:c>
      <x:c r="I33" s="87" t="n">
        <x:f>IF('01 Deal Setup'!$B$79="No",0,IF(AND(B33&gt;='01 Deal Setup'!$C$109,B33&lt;='01 Deal Setup'!$D$109,'01 Deal Setup'!$F$109="Compatible",'01 Deal Setup'!$G$109='01 Deal Setup'!$B$103),'01 Deal Setup'!$B$109,0)+IF(AND(B33&gt;='01 Deal Setup'!$C$110,B33&lt;='01 Deal Setup'!$D$110,'01 Deal Setup'!$F$110="Compatible",'01 Deal Setup'!$G$110='01 Deal Setup'!$B$103),'01 Deal Setup'!$B$110,0)+IF(AND(B33&gt;='01 Deal Setup'!$C$111,B33&lt;='01 Deal Setup'!$D$111,'01 Deal Setup'!$F$111="Compatible",'01 Deal Setup'!$G$111='01 Deal Setup'!$B$103),'01 Deal Setup'!$B$111,0))</x:f>
        <x:v>8</x:v>
      </x:c>
      <x:c r="J33" s="87" t="n">
        <x:f>MAX(0,H33-I33)</x:f>
        <x:v>0</x:v>
      </x:c>
      <x:c r="K33" s="117" t="n">
        <x:f>IF(C33=1,IF('01 Deal Setup'!$B$14="Concurrent",MAX(0,$B$8-I33)*$B$23/$B$8+MAX(0,$B$7-MAX(0,I33-$B$8))*$B$22/$B$7,MAX(0,H33-I33)*SUM(D33:E33)/MAX(1,H33)),0)+IF(F33&gt;0,MAX(0,$B$9-I33)*$F33/$B$9,0)</x:f>
        <x:v>0</x:v>
      </x:c>
      <x:c r="L33" s="117" t="n">
        <x:f>IF('01 Deal Setup'!$B$80="BYOC",0,G33-K33)</x:f>
        <x:v>40</x:v>
      </x:c>
      <x:c r="M33" s="121" t="n">
        <x:f>J33*'01 Deal Setup'!$B$86*'01 Deal Setup'!$B$83</x:f>
        <x:v>0</x:v>
      </x:c>
      <x:c r="N33" s="114" t="n">
        <x:f>IF(J33&gt;0,B33,999)</x:f>
        <x:v>999</x:v>
      </x:c>
      <x:c r="O33" s="114" t="n">
        <x:f>IF(J33&gt;0,B33,0)</x:f>
        <x:v>0</x:v>
      </x:c>
      <x:c r="P33" s="114" t="str">
        <x:f>IF(AND(J33&gt;0,OR('01 Deal Setup'!$B$80="Existing only",'01 Deal Setup'!$B$81="No")),"UNFUNDED",IF(AND(C33=1,$B$27&gt;'01 Deal Setup'!$B$86),"SLOW CYCLE",IF(G33=0,"-","PLANNED")))</x:f>
        <x:v>PLANNED</x:v>
      </x:c>
    </x:row>
    <x:row r="34" ht="20" customHeight="1">
      <x:c r="A34" s="6"/>
      <x:c r="B34" s="6" t="n">
        <x:v>3</x:v>
      </x:c>
      <x:c r="C34" s="6" t="n">
        <x:f>IF(AND(B34&gt;'01 Deal Setup'!$B$12,B34&lt;='01 Deal Setup'!$B$12+'01 Deal Setup'!$B$10*'01 Deal Setup'!$B$11,MOD(B34-'01 Deal Setup'!$B$12-1,'01 Deal Setup'!$B$11)=0),1,0)</x:f>
        <x:v>1</x:v>
      </x:c>
      <x:c r="D34" s="116" t="n">
        <x:f>C34*$B$22</x:f>
        <x:v>426.666666666667</x:v>
      </x:c>
      <x:c r="E34" s="116" t="n">
        <x:f>C34*$B$23</x:f>
        <x:v>640</x:v>
      </x:c>
      <x:c r="F34" s="116" t="n">
        <x:f>IF(B34='01 Deal Setup'!$B$12,$B$25,0)+IF(C34=1,$B$24,0)</x:f>
        <x:v>40</x:v>
      </x:c>
      <x:c r="G34" s="116" t="n">
        <x:f>SUM(D34:F34)</x:f>
        <x:v>1106.666666666667</x:v>
      </x:c>
      <x:c r="H34" s="6" t="n">
        <x:f>IF(C34=1,MAX($B$26,$B$9),IF(F34&gt;0,$B$9,0))</x:f>
        <x:v>8</x:v>
      </x:c>
      <x:c r="I34" s="6" t="n">
        <x:f>IF('01 Deal Setup'!$B$79="No",0,IF(AND(B34&gt;='01 Deal Setup'!$C$109,B34&lt;='01 Deal Setup'!$D$109,'01 Deal Setup'!$F$109="Compatible",'01 Deal Setup'!$G$109='01 Deal Setup'!$B$103),'01 Deal Setup'!$B$109,0)+IF(AND(B34&gt;='01 Deal Setup'!$C$110,B34&lt;='01 Deal Setup'!$D$110,'01 Deal Setup'!$F$110="Compatible",'01 Deal Setup'!$G$110='01 Deal Setup'!$B$103),'01 Deal Setup'!$B$110,0)+IF(AND(B34&gt;='01 Deal Setup'!$C$111,B34&lt;='01 Deal Setup'!$D$111,'01 Deal Setup'!$F$111="Compatible",'01 Deal Setup'!$G$111='01 Deal Setup'!$B$103),'01 Deal Setup'!$B$111,0))</x:f>
        <x:v>8</x:v>
      </x:c>
      <x:c r="J34" s="6" t="n">
        <x:f>MAX(0,H34-I34)</x:f>
        <x:v>0</x:v>
      </x:c>
      <x:c r="K34" s="116" t="n">
        <x:f>IF(C34=1,IF('01 Deal Setup'!$B$14="Concurrent",MAX(0,$B$8-I34)*$B$23/$B$8+MAX(0,$B$7-MAX(0,I34-$B$8))*$B$22/$B$7,MAX(0,H34-I34)*SUM(D34:E34)/MAX(1,H34)),0)+IF(F34&gt;0,MAX(0,$B$9-I34)*$F34/$B$9,0)</x:f>
        <x:v>0</x:v>
      </x:c>
      <x:c r="L34" s="116" t="n">
        <x:f>IF('01 Deal Setup'!$B$80="BYOC",0,G34-K34)</x:f>
        <x:v>1106.666666666667</x:v>
      </x:c>
      <x:c r="M34" s="120" t="n">
        <x:f>J34*'01 Deal Setup'!$B$86*'01 Deal Setup'!$B$83</x:f>
        <x:v>0</x:v>
      </x:c>
      <x:c r="N34" t="n">
        <x:f>IF(J34&gt;0,B34,999)</x:f>
        <x:v>999</x:v>
      </x:c>
      <x:c r="O34" t="n">
        <x:f>IF(J34&gt;0,B34,0)</x:f>
        <x:v>0</x:v>
      </x:c>
      <x:c r="P34" t="str">
        <x:f>IF(AND(J34&gt;0,OR('01 Deal Setup'!$B$80="Existing only",'01 Deal Setup'!$B$81="No")),"UNFUNDED",IF(AND(C34=1,$B$27&gt;'01 Deal Setup'!$B$86),"SLOW CYCLE",IF(G34=0,"-","PLANNED")))</x:f>
        <x:v>PLANNED</x:v>
      </x:c>
    </x:row>
    <x:row r="35" ht="20" customHeight="1">
      <x:c r="A35" s="6"/>
      <x:c r="B35" s="87" t="n">
        <x:v>4</x:v>
      </x:c>
      <x:c r="C35" s="87" t="n">
        <x:f>IF(AND(B35&gt;'01 Deal Setup'!$B$12,B35&lt;='01 Deal Setup'!$B$12+'01 Deal Setup'!$B$10*'01 Deal Setup'!$B$11,MOD(B35-'01 Deal Setup'!$B$12-1,'01 Deal Setup'!$B$11)=0),1,0)</x:f>
        <x:v>1</x:v>
      </x:c>
      <x:c r="D35" s="117" t="n">
        <x:f>C35*$B$22</x:f>
        <x:v>426.666666666667</x:v>
      </x:c>
      <x:c r="E35" s="117" t="n">
        <x:f>C35*$B$23</x:f>
        <x:v>640</x:v>
      </x:c>
      <x:c r="F35" s="117" t="n">
        <x:f>IF(B35='01 Deal Setup'!$B$12,$B$25,0)+IF(C35=1,$B$24,0)</x:f>
        <x:v>40</x:v>
      </x:c>
      <x:c r="G35" s="117" t="n">
        <x:f>SUM(D35:F35)</x:f>
        <x:v>1106.666666666667</x:v>
      </x:c>
      <x:c r="H35" s="87" t="n">
        <x:f>IF(C35=1,MAX($B$26,$B$9),IF(F35&gt;0,$B$9,0))</x:f>
        <x:v>8</x:v>
      </x:c>
      <x:c r="I35" s="87" t="n">
        <x:f>IF('01 Deal Setup'!$B$79="No",0,IF(AND(B35&gt;='01 Deal Setup'!$C$109,B35&lt;='01 Deal Setup'!$D$109,'01 Deal Setup'!$F$109="Compatible",'01 Deal Setup'!$G$109='01 Deal Setup'!$B$103),'01 Deal Setup'!$B$109,0)+IF(AND(B35&gt;='01 Deal Setup'!$C$110,B35&lt;='01 Deal Setup'!$D$110,'01 Deal Setup'!$F$110="Compatible",'01 Deal Setup'!$G$110='01 Deal Setup'!$B$103),'01 Deal Setup'!$B$110,0)+IF(AND(B35&gt;='01 Deal Setup'!$C$111,B35&lt;='01 Deal Setup'!$D$111,'01 Deal Setup'!$F$111="Compatible",'01 Deal Setup'!$G$111='01 Deal Setup'!$B$103),'01 Deal Setup'!$B$111,0))</x:f>
        <x:v>8</x:v>
      </x:c>
      <x:c r="J35" s="87" t="n">
        <x:f>MAX(0,H35-I35)</x:f>
        <x:v>0</x:v>
      </x:c>
      <x:c r="K35" s="117" t="n">
        <x:f>IF(C35=1,IF('01 Deal Setup'!$B$14="Concurrent",MAX(0,$B$8-I35)*$B$23/$B$8+MAX(0,$B$7-MAX(0,I35-$B$8))*$B$22/$B$7,MAX(0,H35-I35)*SUM(D35:E35)/MAX(1,H35)),0)+IF(F35&gt;0,MAX(0,$B$9-I35)*$F35/$B$9,0)</x:f>
        <x:v>0</x:v>
      </x:c>
      <x:c r="L35" s="117" t="n">
        <x:f>IF('01 Deal Setup'!$B$80="BYOC",0,G35-K35)</x:f>
        <x:v>1106.666666666667</x:v>
      </x:c>
      <x:c r="M35" s="121" t="n">
        <x:f>J35*'01 Deal Setup'!$B$86*'01 Deal Setup'!$B$83</x:f>
        <x:v>0</x:v>
      </x:c>
      <x:c r="N35" s="114" t="n">
        <x:f>IF(J35&gt;0,B35,999)</x:f>
        <x:v>999</x:v>
      </x:c>
      <x:c r="O35" s="114" t="n">
        <x:f>IF(J35&gt;0,B35,0)</x:f>
        <x:v>0</x:v>
      </x:c>
      <x:c r="P35" s="114" t="str">
        <x:f>IF(AND(J35&gt;0,OR('01 Deal Setup'!$B$80="Existing only",'01 Deal Setup'!$B$81="No")),"UNFUNDED",IF(AND(C35=1,$B$27&gt;'01 Deal Setup'!$B$86),"SLOW CYCLE",IF(G35=0,"-","PLANNED")))</x:f>
        <x:v>PLANNED</x:v>
      </x:c>
    </x:row>
    <x:row r="36" ht="20" customHeight="1">
      <x:c r="A36" s="6"/>
      <x:c r="B36" s="6" t="n">
        <x:v>5</x:v>
      </x:c>
      <x:c r="C36" s="6" t="n">
        <x:f>IF(AND(B36&gt;'01 Deal Setup'!$B$12,B36&lt;='01 Deal Setup'!$B$12+'01 Deal Setup'!$B$10*'01 Deal Setup'!$B$11,MOD(B36-'01 Deal Setup'!$B$12-1,'01 Deal Setup'!$B$11)=0),1,0)</x:f>
        <x:v>1</x:v>
      </x:c>
      <x:c r="D36" s="116" t="n">
        <x:f>C36*$B$22</x:f>
        <x:v>426.666666666667</x:v>
      </x:c>
      <x:c r="E36" s="116" t="n">
        <x:f>C36*$B$23</x:f>
        <x:v>640</x:v>
      </x:c>
      <x:c r="F36" s="116" t="n">
        <x:f>IF(B36='01 Deal Setup'!$B$12,$B$25,0)+IF(C36=1,$B$24,0)</x:f>
        <x:v>40</x:v>
      </x:c>
      <x:c r="G36" s="116" t="n">
        <x:f>SUM(D36:F36)</x:f>
        <x:v>1106.666666666667</x:v>
      </x:c>
      <x:c r="H36" s="6" t="n">
        <x:f>IF(C36=1,MAX($B$26,$B$9),IF(F36&gt;0,$B$9,0))</x:f>
        <x:v>8</x:v>
      </x:c>
      <x:c r="I36" s="6" t="n">
        <x:f>IF('01 Deal Setup'!$B$79="No",0,IF(AND(B36&gt;='01 Deal Setup'!$C$109,B36&lt;='01 Deal Setup'!$D$109,'01 Deal Setup'!$F$109="Compatible",'01 Deal Setup'!$G$109='01 Deal Setup'!$B$103),'01 Deal Setup'!$B$109,0)+IF(AND(B36&gt;='01 Deal Setup'!$C$110,B36&lt;='01 Deal Setup'!$D$110,'01 Deal Setup'!$F$110="Compatible",'01 Deal Setup'!$G$110='01 Deal Setup'!$B$103),'01 Deal Setup'!$B$110,0)+IF(AND(B36&gt;='01 Deal Setup'!$C$111,B36&lt;='01 Deal Setup'!$D$111,'01 Deal Setup'!$F$111="Compatible",'01 Deal Setup'!$G$111='01 Deal Setup'!$B$103),'01 Deal Setup'!$B$111,0))</x:f>
        <x:v>8</x:v>
      </x:c>
      <x:c r="J36" s="6" t="n">
        <x:f>MAX(0,H36-I36)</x:f>
        <x:v>0</x:v>
      </x:c>
      <x:c r="K36" s="116" t="n">
        <x:f>IF(C36=1,IF('01 Deal Setup'!$B$14="Concurrent",MAX(0,$B$8-I36)*$B$23/$B$8+MAX(0,$B$7-MAX(0,I36-$B$8))*$B$22/$B$7,MAX(0,H36-I36)*SUM(D36:E36)/MAX(1,H36)),0)+IF(F36&gt;0,MAX(0,$B$9-I36)*$F36/$B$9,0)</x:f>
        <x:v>0</x:v>
      </x:c>
      <x:c r="L36" s="116" t="n">
        <x:f>IF('01 Deal Setup'!$B$80="BYOC",0,G36-K36)</x:f>
        <x:v>1106.666666666667</x:v>
      </x:c>
      <x:c r="M36" s="120" t="n">
        <x:f>J36*'01 Deal Setup'!$B$86*'01 Deal Setup'!$B$83</x:f>
        <x:v>0</x:v>
      </x:c>
      <x:c r="N36" t="n">
        <x:f>IF(J36&gt;0,B36,999)</x:f>
        <x:v>999</x:v>
      </x:c>
      <x:c r="O36" t="n">
        <x:f>IF(J36&gt;0,B36,0)</x:f>
        <x:v>0</x:v>
      </x:c>
      <x:c r="P36" t="str">
        <x:f>IF(AND(J36&gt;0,OR('01 Deal Setup'!$B$80="Existing only",'01 Deal Setup'!$B$81="No")),"UNFUNDED",IF(AND(C36=1,$B$27&gt;'01 Deal Setup'!$B$86),"SLOW CYCLE",IF(G36=0,"-","PLANNED")))</x:f>
        <x:v>PLANNED</x:v>
      </x:c>
    </x:row>
    <x:row r="37" ht="20" customHeight="1">
      <x:c r="A37" s="6"/>
      <x:c r="B37" s="87" t="n">
        <x:v>6</x:v>
      </x:c>
      <x:c r="C37" s="87" t="n">
        <x:f>IF(AND(B37&gt;'01 Deal Setup'!$B$12,B37&lt;='01 Deal Setup'!$B$12+'01 Deal Setup'!$B$10*'01 Deal Setup'!$B$11,MOD(B37-'01 Deal Setup'!$B$12-1,'01 Deal Setup'!$B$11)=0),1,0)</x:f>
        <x:v>0</x:v>
      </x:c>
      <x:c r="D37" s="117" t="n">
        <x:f>C37*$B$22</x:f>
        <x:v>0</x:v>
      </x:c>
      <x:c r="E37" s="117" t="n">
        <x:f>C37*$B$23</x:f>
        <x:v>0</x:v>
      </x:c>
      <x:c r="F37" s="117" t="n">
        <x:f>IF(B37='01 Deal Setup'!$B$12,$B$25,0)+IF(C37=1,$B$24,0)</x:f>
        <x:v>0</x:v>
      </x:c>
      <x:c r="G37" s="117" t="n">
        <x:f>SUM(D37:F37)</x:f>
        <x:v>0</x:v>
      </x:c>
      <x:c r="H37" s="87" t="n">
        <x:f>IF(C37=1,MAX($B$26,$B$9),IF(F37&gt;0,$B$9,0))</x:f>
        <x:v>0</x:v>
      </x:c>
      <x:c r="I37" s="87" t="n">
        <x:f>IF('01 Deal Setup'!$B$79="No",0,IF(AND(B37&gt;='01 Deal Setup'!$C$109,B37&lt;='01 Deal Setup'!$D$109,'01 Deal Setup'!$F$109="Compatible",'01 Deal Setup'!$G$109='01 Deal Setup'!$B$103),'01 Deal Setup'!$B$109,0)+IF(AND(B37&gt;='01 Deal Setup'!$C$110,B37&lt;='01 Deal Setup'!$D$110,'01 Deal Setup'!$F$110="Compatible",'01 Deal Setup'!$G$110='01 Deal Setup'!$B$103),'01 Deal Setup'!$B$110,0)+IF(AND(B37&gt;='01 Deal Setup'!$C$111,B37&lt;='01 Deal Setup'!$D$111,'01 Deal Setup'!$F$111="Compatible",'01 Deal Setup'!$G$111='01 Deal Setup'!$B$103),'01 Deal Setup'!$B$111,0))</x:f>
        <x:v>8</x:v>
      </x:c>
      <x:c r="J37" s="87" t="n">
        <x:f>MAX(0,H37-I37)</x:f>
        <x:v>0</x:v>
      </x:c>
      <x:c r="K37" s="117" t="n">
        <x:f>IF(C37=1,IF('01 Deal Setup'!$B$14="Concurrent",MAX(0,$B$8-I37)*$B$23/$B$8+MAX(0,$B$7-MAX(0,I37-$B$8))*$B$22/$B$7,MAX(0,H37-I37)*SUM(D37:E37)/MAX(1,H37)),0)+IF(F37&gt;0,MAX(0,$B$9-I37)*$F37/$B$9,0)</x:f>
        <x:v>0</x:v>
      </x:c>
      <x:c r="L37" s="117" t="n">
        <x:f>IF('01 Deal Setup'!$B$80="BYOC",0,G37-K37)</x:f>
        <x:v>0</x:v>
      </x:c>
      <x:c r="M37" s="121" t="n">
        <x:f>J37*'01 Deal Setup'!$B$86*'01 Deal Setup'!$B$83</x:f>
        <x:v>0</x:v>
      </x:c>
      <x:c r="N37" s="114" t="n">
        <x:f>IF(J37&gt;0,B37,999)</x:f>
        <x:v>999</x:v>
      </x:c>
      <x:c r="O37" s="114" t="n">
        <x:f>IF(J37&gt;0,B37,0)</x:f>
        <x:v>0</x:v>
      </x:c>
      <x:c r="P37" s="114" t="str">
        <x:f>IF(AND(J37&gt;0,OR('01 Deal Setup'!$B$80="Existing only",'01 Deal Setup'!$B$81="No")),"UNFUNDED",IF(AND(C37=1,$B$27&gt;'01 Deal Setup'!$B$86),"SLOW CYCLE",IF(G37=0,"-","PLANNED")))</x:f>
        <x:v>-</x:v>
      </x:c>
    </x:row>
    <x:row r="38" ht="20" customHeight="1">
      <x:c r="A38" s="6"/>
      <x:c r="B38" s="6" t="n">
        <x:v>7</x:v>
      </x:c>
      <x:c r="C38" s="6" t="n">
        <x:f>IF(AND(B38&gt;'01 Deal Setup'!$B$12,B38&lt;='01 Deal Setup'!$B$12+'01 Deal Setup'!$B$10*'01 Deal Setup'!$B$11,MOD(B38-'01 Deal Setup'!$B$12-1,'01 Deal Setup'!$B$11)=0),1,0)</x:f>
        <x:v>0</x:v>
      </x:c>
      <x:c r="D38" s="116" t="n">
        <x:f>C38*$B$22</x:f>
        <x:v>0</x:v>
      </x:c>
      <x:c r="E38" s="116" t="n">
        <x:f>C38*$B$23</x:f>
        <x:v>0</x:v>
      </x:c>
      <x:c r="F38" s="116" t="n">
        <x:f>IF(B38='01 Deal Setup'!$B$12,$B$25,0)+IF(C38=1,$B$24,0)</x:f>
        <x:v>0</x:v>
      </x:c>
      <x:c r="G38" s="116" t="n">
        <x:f>SUM(D38:F38)</x:f>
        <x:v>0</x:v>
      </x:c>
      <x:c r="H38" s="6" t="n">
        <x:f>IF(C38=1,MAX($B$26,$B$9),IF(F38&gt;0,$B$9,0))</x:f>
        <x:v>0</x:v>
      </x:c>
      <x:c r="I38" s="6" t="n">
        <x:f>IF('01 Deal Setup'!$B$79="No",0,IF(AND(B38&gt;='01 Deal Setup'!$C$109,B38&lt;='01 Deal Setup'!$D$109,'01 Deal Setup'!$F$109="Compatible",'01 Deal Setup'!$G$109='01 Deal Setup'!$B$103),'01 Deal Setup'!$B$109,0)+IF(AND(B38&gt;='01 Deal Setup'!$C$110,B38&lt;='01 Deal Setup'!$D$110,'01 Deal Setup'!$F$110="Compatible",'01 Deal Setup'!$G$110='01 Deal Setup'!$B$103),'01 Deal Setup'!$B$110,0)+IF(AND(B38&gt;='01 Deal Setup'!$C$111,B38&lt;='01 Deal Setup'!$D$111,'01 Deal Setup'!$F$111="Compatible",'01 Deal Setup'!$G$111='01 Deal Setup'!$B$103),'01 Deal Setup'!$B$111,0))</x:f>
        <x:v>8</x:v>
      </x:c>
      <x:c r="J38" s="6" t="n">
        <x:f>MAX(0,H38-I38)</x:f>
        <x:v>0</x:v>
      </x:c>
      <x:c r="K38" s="116" t="n">
        <x:f>IF(C38=1,IF('01 Deal Setup'!$B$14="Concurrent",MAX(0,$B$8-I38)*$B$23/$B$8+MAX(0,$B$7-MAX(0,I38-$B$8))*$B$22/$B$7,MAX(0,H38-I38)*SUM(D38:E38)/MAX(1,H38)),0)+IF(F38&gt;0,MAX(0,$B$9-I38)*$F38/$B$9,0)</x:f>
        <x:v>0</x:v>
      </x:c>
      <x:c r="L38" s="116" t="n">
        <x:f>IF('01 Deal Setup'!$B$80="BYOC",0,G38-K38)</x:f>
        <x:v>0</x:v>
      </x:c>
      <x:c r="M38" s="120" t="n">
        <x:f>J38*'01 Deal Setup'!$B$86*'01 Deal Setup'!$B$83</x:f>
        <x:v>0</x:v>
      </x:c>
      <x:c r="N38" t="n">
        <x:f>IF(J38&gt;0,B38,999)</x:f>
        <x:v>999</x:v>
      </x:c>
      <x:c r="O38" t="n">
        <x:f>IF(J38&gt;0,B38,0)</x:f>
        <x:v>0</x:v>
      </x:c>
      <x:c r="P38" t="str">
        <x:f>IF(AND(J38&gt;0,OR('01 Deal Setup'!$B$80="Existing only",'01 Deal Setup'!$B$81="No")),"UNFUNDED",IF(AND(C38=1,$B$27&gt;'01 Deal Setup'!$B$86),"SLOW CYCLE",IF(G38=0,"-","PLANNED")))</x:f>
        <x:v>-</x:v>
      </x:c>
    </x:row>
    <x:row r="39" ht="20" customHeight="1">
      <x:c r="A39" s="6"/>
      <x:c r="B39" s="87" t="n">
        <x:v>8</x:v>
      </x:c>
      <x:c r="C39" s="87" t="n">
        <x:f>IF(AND(B39&gt;'01 Deal Setup'!$B$12,B39&lt;='01 Deal Setup'!$B$12+'01 Deal Setup'!$B$10*'01 Deal Setup'!$B$11,MOD(B39-'01 Deal Setup'!$B$12-1,'01 Deal Setup'!$B$11)=0),1,0)</x:f>
        <x:v>0</x:v>
      </x:c>
      <x:c r="D39" s="117" t="n">
        <x:f>C39*$B$22</x:f>
        <x:v>0</x:v>
      </x:c>
      <x:c r="E39" s="117" t="n">
        <x:f>C39*$B$23</x:f>
        <x:v>0</x:v>
      </x:c>
      <x:c r="F39" s="117" t="n">
        <x:f>IF(B39='01 Deal Setup'!$B$12,$B$25,0)+IF(C39=1,$B$24,0)</x:f>
        <x:v>0</x:v>
      </x:c>
      <x:c r="G39" s="117" t="n">
        <x:f>SUM(D39:F39)</x:f>
        <x:v>0</x:v>
      </x:c>
      <x:c r="H39" s="87" t="n">
        <x:f>IF(C39=1,MAX($B$26,$B$9),IF(F39&gt;0,$B$9,0))</x:f>
        <x:v>0</x:v>
      </x:c>
      <x:c r="I39" s="87" t="n">
        <x:f>IF('01 Deal Setup'!$B$79="No",0,IF(AND(B39&gt;='01 Deal Setup'!$C$109,B39&lt;='01 Deal Setup'!$D$109,'01 Deal Setup'!$F$109="Compatible",'01 Deal Setup'!$G$109='01 Deal Setup'!$B$103),'01 Deal Setup'!$B$109,0)+IF(AND(B39&gt;='01 Deal Setup'!$C$110,B39&lt;='01 Deal Setup'!$D$110,'01 Deal Setup'!$F$110="Compatible",'01 Deal Setup'!$G$110='01 Deal Setup'!$B$103),'01 Deal Setup'!$B$110,0)+IF(AND(B39&gt;='01 Deal Setup'!$C$111,B39&lt;='01 Deal Setup'!$D$111,'01 Deal Setup'!$F$111="Compatible",'01 Deal Setup'!$G$111='01 Deal Setup'!$B$103),'01 Deal Setup'!$B$111,0))</x:f>
        <x:v>8</x:v>
      </x:c>
      <x:c r="J39" s="87" t="n">
        <x:f>MAX(0,H39-I39)</x:f>
        <x:v>0</x:v>
      </x:c>
      <x:c r="K39" s="117" t="n">
        <x:f>IF(C39=1,IF('01 Deal Setup'!$B$14="Concurrent",MAX(0,$B$8-I39)*$B$23/$B$8+MAX(0,$B$7-MAX(0,I39-$B$8))*$B$22/$B$7,MAX(0,H39-I39)*SUM(D39:E39)/MAX(1,H39)),0)+IF(F39&gt;0,MAX(0,$B$9-I39)*$F39/$B$9,0)</x:f>
        <x:v>0</x:v>
      </x:c>
      <x:c r="L39" s="117" t="n">
        <x:f>IF('01 Deal Setup'!$B$80="BYOC",0,G39-K39)</x:f>
        <x:v>0</x:v>
      </x:c>
      <x:c r="M39" s="121" t="n">
        <x:f>J39*'01 Deal Setup'!$B$86*'01 Deal Setup'!$B$83</x:f>
        <x:v>0</x:v>
      </x:c>
      <x:c r="N39" s="114" t="n">
        <x:f>IF(J39&gt;0,B39,999)</x:f>
        <x:v>999</x:v>
      </x:c>
      <x:c r="O39" s="114" t="n">
        <x:f>IF(J39&gt;0,B39,0)</x:f>
        <x:v>0</x:v>
      </x:c>
      <x:c r="P39" s="114" t="str">
        <x:f>IF(AND(J39&gt;0,OR('01 Deal Setup'!$B$80="Existing only",'01 Deal Setup'!$B$81="No")),"UNFUNDED",IF(AND(C39=1,$B$27&gt;'01 Deal Setup'!$B$86),"SLOW CYCLE",IF(G39=0,"-","PLANNED")))</x:f>
        <x:v>-</x:v>
      </x:c>
    </x:row>
    <x:row r="40" ht="20" customHeight="1">
      <x:c r="A40" s="6"/>
      <x:c r="B40" s="6" t="n">
        <x:v>9</x:v>
      </x:c>
      <x:c r="C40" s="6" t="n">
        <x:f>IF(AND(B40&gt;'01 Deal Setup'!$B$12,B40&lt;='01 Deal Setup'!$B$12+'01 Deal Setup'!$B$10*'01 Deal Setup'!$B$11,MOD(B40-'01 Deal Setup'!$B$12-1,'01 Deal Setup'!$B$11)=0),1,0)</x:f>
        <x:v>0</x:v>
      </x:c>
      <x:c r="D40" s="116" t="n">
        <x:f>C40*$B$22</x:f>
        <x:v>0</x:v>
      </x:c>
      <x:c r="E40" s="116" t="n">
        <x:f>C40*$B$23</x:f>
        <x:v>0</x:v>
      </x:c>
      <x:c r="F40" s="116" t="n">
        <x:f>IF(B40='01 Deal Setup'!$B$12,$B$25,0)+IF(C40=1,$B$24,0)</x:f>
        <x:v>0</x:v>
      </x:c>
      <x:c r="G40" s="116" t="n">
        <x:f>SUM(D40:F40)</x:f>
        <x:v>0</x:v>
      </x:c>
      <x:c r="H40" s="6" t="n">
        <x:f>IF(C40=1,MAX($B$26,$B$9),IF(F40&gt;0,$B$9,0))</x:f>
        <x:v>0</x:v>
      </x:c>
      <x:c r="I40" s="6" t="n">
        <x:f>IF('01 Deal Setup'!$B$79="No",0,IF(AND(B40&gt;='01 Deal Setup'!$C$109,B40&lt;='01 Deal Setup'!$D$109,'01 Deal Setup'!$F$109="Compatible",'01 Deal Setup'!$G$109='01 Deal Setup'!$B$103),'01 Deal Setup'!$B$109,0)+IF(AND(B40&gt;='01 Deal Setup'!$C$110,B40&lt;='01 Deal Setup'!$D$110,'01 Deal Setup'!$F$110="Compatible",'01 Deal Setup'!$G$110='01 Deal Setup'!$B$103),'01 Deal Setup'!$B$110,0)+IF(AND(B40&gt;='01 Deal Setup'!$C$111,B40&lt;='01 Deal Setup'!$D$111,'01 Deal Setup'!$F$111="Compatible",'01 Deal Setup'!$G$111='01 Deal Setup'!$B$103),'01 Deal Setup'!$B$111,0))</x:f>
        <x:v>0</x:v>
      </x:c>
      <x:c r="J40" s="6" t="n">
        <x:f>MAX(0,H40-I40)</x:f>
        <x:v>0</x:v>
      </x:c>
      <x:c r="K40" s="116" t="n">
        <x:f>IF(C40=1,IF('01 Deal Setup'!$B$14="Concurrent",MAX(0,$B$8-I40)*$B$23/$B$8+MAX(0,$B$7-MAX(0,I40-$B$8))*$B$22/$B$7,MAX(0,H40-I40)*SUM(D40:E40)/MAX(1,H40)),0)+IF(F40&gt;0,MAX(0,$B$9-I40)*$F40/$B$9,0)</x:f>
        <x:v>0</x:v>
      </x:c>
      <x:c r="L40" s="116" t="n">
        <x:f>IF('01 Deal Setup'!$B$80="BYOC",0,G40-K40)</x:f>
        <x:v>0</x:v>
      </x:c>
      <x:c r="M40" s="120" t="n">
        <x:f>J40*'01 Deal Setup'!$B$86*'01 Deal Setup'!$B$83</x:f>
        <x:v>0</x:v>
      </x:c>
      <x:c r="N40" t="n">
        <x:f>IF(J40&gt;0,B40,999)</x:f>
        <x:v>999</x:v>
      </x:c>
      <x:c r="O40" t="n">
        <x:f>IF(J40&gt;0,B40,0)</x:f>
        <x:v>0</x:v>
      </x:c>
      <x:c r="P40" t="str">
        <x:f>IF(AND(J40&gt;0,OR('01 Deal Setup'!$B$80="Existing only",'01 Deal Setup'!$B$81="No")),"UNFUNDED",IF(AND(C40=1,$B$27&gt;'01 Deal Setup'!$B$86),"SLOW CYCLE",IF(G40=0,"-","PLANNED")))</x:f>
        <x:v>-</x:v>
      </x:c>
    </x:row>
    <x:row r="41" ht="20" customHeight="1">
      <x:c r="A41" s="6"/>
      <x:c r="B41" s="87" t="n">
        <x:v>10</x:v>
      </x:c>
      <x:c r="C41" s="87" t="n">
        <x:f>IF(AND(B41&gt;'01 Deal Setup'!$B$12,B41&lt;='01 Deal Setup'!$B$12+'01 Deal Setup'!$B$10*'01 Deal Setup'!$B$11,MOD(B41-'01 Deal Setup'!$B$12-1,'01 Deal Setup'!$B$11)=0),1,0)</x:f>
        <x:v>0</x:v>
      </x:c>
      <x:c r="D41" s="117" t="n">
        <x:f>C41*$B$22</x:f>
        <x:v>0</x:v>
      </x:c>
      <x:c r="E41" s="117" t="n">
        <x:f>C41*$B$23</x:f>
        <x:v>0</x:v>
      </x:c>
      <x:c r="F41" s="117" t="n">
        <x:f>IF(B41='01 Deal Setup'!$B$12,$B$25,0)+IF(C41=1,$B$24,0)</x:f>
        <x:v>0</x:v>
      </x:c>
      <x:c r="G41" s="117" t="n">
        <x:f>SUM(D41:F41)</x:f>
        <x:v>0</x:v>
      </x:c>
      <x:c r="H41" s="87" t="n">
        <x:f>IF(C41=1,MAX($B$26,$B$9),IF(F41&gt;0,$B$9,0))</x:f>
        <x:v>0</x:v>
      </x:c>
      <x:c r="I41" s="87" t="n">
        <x:f>IF('01 Deal Setup'!$B$79="No",0,IF(AND(B41&gt;='01 Deal Setup'!$C$109,B41&lt;='01 Deal Setup'!$D$109,'01 Deal Setup'!$F$109="Compatible",'01 Deal Setup'!$G$109='01 Deal Setup'!$B$103),'01 Deal Setup'!$B$109,0)+IF(AND(B41&gt;='01 Deal Setup'!$C$110,B41&lt;='01 Deal Setup'!$D$110,'01 Deal Setup'!$F$110="Compatible",'01 Deal Setup'!$G$110='01 Deal Setup'!$B$103),'01 Deal Setup'!$B$110,0)+IF(AND(B41&gt;='01 Deal Setup'!$C$111,B41&lt;='01 Deal Setup'!$D$111,'01 Deal Setup'!$F$111="Compatible",'01 Deal Setup'!$G$111='01 Deal Setup'!$B$103),'01 Deal Setup'!$B$111,0))</x:f>
        <x:v>0</x:v>
      </x:c>
      <x:c r="J41" s="87" t="n">
        <x:f>MAX(0,H41-I41)</x:f>
        <x:v>0</x:v>
      </x:c>
      <x:c r="K41" s="117" t="n">
        <x:f>IF(C41=1,IF('01 Deal Setup'!$B$14="Concurrent",MAX(0,$B$8-I41)*$B$23/$B$8+MAX(0,$B$7-MAX(0,I41-$B$8))*$B$22/$B$7,MAX(0,H41-I41)*SUM(D41:E41)/MAX(1,H41)),0)+IF(F41&gt;0,MAX(0,$B$9-I41)*$F41/$B$9,0)</x:f>
        <x:v>0</x:v>
      </x:c>
      <x:c r="L41" s="117" t="n">
        <x:f>IF('01 Deal Setup'!$B$80="BYOC",0,G41-K41)</x:f>
        <x:v>0</x:v>
      </x:c>
      <x:c r="M41" s="121" t="n">
        <x:f>J41*'01 Deal Setup'!$B$86*'01 Deal Setup'!$B$83</x:f>
        <x:v>0</x:v>
      </x:c>
      <x:c r="N41" s="114" t="n">
        <x:f>IF(J41&gt;0,B41,999)</x:f>
        <x:v>999</x:v>
      </x:c>
      <x:c r="O41" s="114" t="n">
        <x:f>IF(J41&gt;0,B41,0)</x:f>
        <x:v>0</x:v>
      </x:c>
      <x:c r="P41" s="114" t="str">
        <x:f>IF(AND(J41&gt;0,OR('01 Deal Setup'!$B$80="Existing only",'01 Deal Setup'!$B$81="No")),"UNFUNDED",IF(AND(C41=1,$B$27&gt;'01 Deal Setup'!$B$86),"SLOW CYCLE",IF(G41=0,"-","PLANNED")))</x:f>
        <x:v>-</x:v>
      </x:c>
    </x:row>
    <x:row r="42" ht="20" customHeight="1">
      <x:c r="A42" s="6"/>
      <x:c r="B42" s="6" t="n">
        <x:v>11</x:v>
      </x:c>
      <x:c r="C42" s="6" t="n">
        <x:f>IF(AND(B42&gt;'01 Deal Setup'!$B$12,B42&lt;='01 Deal Setup'!$B$12+'01 Deal Setup'!$B$10*'01 Deal Setup'!$B$11,MOD(B42-'01 Deal Setup'!$B$12-1,'01 Deal Setup'!$B$11)=0),1,0)</x:f>
        <x:v>0</x:v>
      </x:c>
      <x:c r="D42" s="116" t="n">
        <x:f>C42*$B$22</x:f>
        <x:v>0</x:v>
      </x:c>
      <x:c r="E42" s="116" t="n">
        <x:f>C42*$B$23</x:f>
        <x:v>0</x:v>
      </x:c>
      <x:c r="F42" s="116" t="n">
        <x:f>IF(B42='01 Deal Setup'!$B$12,$B$25,0)+IF(C42=1,$B$24,0)</x:f>
        <x:v>0</x:v>
      </x:c>
      <x:c r="G42" s="116" t="n">
        <x:f>SUM(D42:F42)</x:f>
        <x:v>0</x:v>
      </x:c>
      <x:c r="H42" s="6" t="n">
        <x:f>IF(C42=1,MAX($B$26,$B$9),IF(F42&gt;0,$B$9,0))</x:f>
        <x:v>0</x:v>
      </x:c>
      <x:c r="I42" s="6" t="n">
        <x:f>IF('01 Deal Setup'!$B$79="No",0,IF(AND(B42&gt;='01 Deal Setup'!$C$109,B42&lt;='01 Deal Setup'!$D$109,'01 Deal Setup'!$F$109="Compatible",'01 Deal Setup'!$G$109='01 Deal Setup'!$B$103),'01 Deal Setup'!$B$109,0)+IF(AND(B42&gt;='01 Deal Setup'!$C$110,B42&lt;='01 Deal Setup'!$D$110,'01 Deal Setup'!$F$110="Compatible",'01 Deal Setup'!$G$110='01 Deal Setup'!$B$103),'01 Deal Setup'!$B$110,0)+IF(AND(B42&gt;='01 Deal Setup'!$C$111,B42&lt;='01 Deal Setup'!$D$111,'01 Deal Setup'!$F$111="Compatible",'01 Deal Setup'!$G$111='01 Deal Setup'!$B$103),'01 Deal Setup'!$B$111,0))</x:f>
        <x:v>0</x:v>
      </x:c>
      <x:c r="J42" s="6" t="n">
        <x:f>MAX(0,H42-I42)</x:f>
        <x:v>0</x:v>
      </x:c>
      <x:c r="K42" s="116" t="n">
        <x:f>IF(C42=1,IF('01 Deal Setup'!$B$14="Concurrent",MAX(0,$B$8-I42)*$B$23/$B$8+MAX(0,$B$7-MAX(0,I42-$B$8))*$B$22/$B$7,MAX(0,H42-I42)*SUM(D42:E42)/MAX(1,H42)),0)+IF(F42&gt;0,MAX(0,$B$9-I42)*$F42/$B$9,0)</x:f>
        <x:v>0</x:v>
      </x:c>
      <x:c r="L42" s="116" t="n">
        <x:f>IF('01 Deal Setup'!$B$80="BYOC",0,G42-K42)</x:f>
        <x:v>0</x:v>
      </x:c>
      <x:c r="M42" s="120" t="n">
        <x:f>J42*'01 Deal Setup'!$B$86*'01 Deal Setup'!$B$83</x:f>
        <x:v>0</x:v>
      </x:c>
      <x:c r="N42" t="n">
        <x:f>IF(J42&gt;0,B42,999)</x:f>
        <x:v>999</x:v>
      </x:c>
      <x:c r="O42" t="n">
        <x:f>IF(J42&gt;0,B42,0)</x:f>
        <x:v>0</x:v>
      </x:c>
      <x:c r="P42" t="str">
        <x:f>IF(AND(J42&gt;0,OR('01 Deal Setup'!$B$80="Existing only",'01 Deal Setup'!$B$81="No")),"UNFUNDED",IF(AND(C42=1,$B$27&gt;'01 Deal Setup'!$B$86),"SLOW CYCLE",IF(G42=0,"-","PLANNED")))</x:f>
        <x:v>-</x:v>
      </x:c>
    </x:row>
    <x:row r="43" ht="20" customHeight="1">
      <x:c r="A43" s="6"/>
      <x:c r="B43" s="87" t="n">
        <x:v>12</x:v>
      </x:c>
      <x:c r="C43" s="87" t="n">
        <x:f>IF(AND(B43&gt;'01 Deal Setup'!$B$12,B43&lt;='01 Deal Setup'!$B$12+'01 Deal Setup'!$B$10*'01 Deal Setup'!$B$11,MOD(B43-'01 Deal Setup'!$B$12-1,'01 Deal Setup'!$B$11)=0),1,0)</x:f>
        <x:v>0</x:v>
      </x:c>
      <x:c r="D43" s="117" t="n">
        <x:f>C43*$B$22</x:f>
        <x:v>0</x:v>
      </x:c>
      <x:c r="E43" s="117" t="n">
        <x:f>C43*$B$23</x:f>
        <x:v>0</x:v>
      </x:c>
      <x:c r="F43" s="117" t="n">
        <x:f>IF(B43='01 Deal Setup'!$B$12,$B$25,0)+IF(C43=1,$B$24,0)</x:f>
        <x:v>0</x:v>
      </x:c>
      <x:c r="G43" s="117" t="n">
        <x:f>SUM(D43:F43)</x:f>
        <x:v>0</x:v>
      </x:c>
      <x:c r="H43" s="87" t="n">
        <x:f>IF(C43=1,MAX($B$26,$B$9),IF(F43&gt;0,$B$9,0))</x:f>
        <x:v>0</x:v>
      </x:c>
      <x:c r="I43" s="87" t="n">
        <x:f>IF('01 Deal Setup'!$B$79="No",0,IF(AND(B43&gt;='01 Deal Setup'!$C$109,B43&lt;='01 Deal Setup'!$D$109,'01 Deal Setup'!$F$109="Compatible",'01 Deal Setup'!$G$109='01 Deal Setup'!$B$103),'01 Deal Setup'!$B$109,0)+IF(AND(B43&gt;='01 Deal Setup'!$C$110,B43&lt;='01 Deal Setup'!$D$110,'01 Deal Setup'!$F$110="Compatible",'01 Deal Setup'!$G$110='01 Deal Setup'!$B$103),'01 Deal Setup'!$B$110,0)+IF(AND(B43&gt;='01 Deal Setup'!$C$111,B43&lt;='01 Deal Setup'!$D$111,'01 Deal Setup'!$F$111="Compatible",'01 Deal Setup'!$G$111='01 Deal Setup'!$B$103),'01 Deal Setup'!$B$111,0))</x:f>
        <x:v>0</x:v>
      </x:c>
      <x:c r="J43" s="87" t="n">
        <x:f>MAX(0,H43-I43)</x:f>
        <x:v>0</x:v>
      </x:c>
      <x:c r="K43" s="117" t="n">
        <x:f>IF(C43=1,IF('01 Deal Setup'!$B$14="Concurrent",MAX(0,$B$8-I43)*$B$23/$B$8+MAX(0,$B$7-MAX(0,I43-$B$8))*$B$22/$B$7,MAX(0,H43-I43)*SUM(D43:E43)/MAX(1,H43)),0)+IF(F43&gt;0,MAX(0,$B$9-I43)*$F43/$B$9,0)</x:f>
        <x:v>0</x:v>
      </x:c>
      <x:c r="L43" s="117" t="n">
        <x:f>IF('01 Deal Setup'!$B$80="BYOC",0,G43-K43)</x:f>
        <x:v>0</x:v>
      </x:c>
      <x:c r="M43" s="121" t="n">
        <x:f>J43*'01 Deal Setup'!$B$86*'01 Deal Setup'!$B$83</x:f>
        <x:v>0</x:v>
      </x:c>
      <x:c r="N43" s="114" t="n">
        <x:f>IF(J43&gt;0,B43,999)</x:f>
        <x:v>999</x:v>
      </x:c>
      <x:c r="O43" s="114" t="n">
        <x:f>IF(J43&gt;0,B43,0)</x:f>
        <x:v>0</x:v>
      </x:c>
      <x:c r="P43" s="114" t="str">
        <x:f>IF(AND(J43&gt;0,OR('01 Deal Setup'!$B$80="Existing only",'01 Deal Setup'!$B$81="No")),"UNFUNDED",IF(AND(C43=1,$B$27&gt;'01 Deal Setup'!$B$86),"SLOW CYCLE",IF(G43=0,"-","PLANNED")))</x:f>
        <x:v>-</x:v>
      </x:c>
    </x:row>
    <x:row r="44" ht="20" customHeight="1">
      <x:c r="A44" s="6"/>
      <x:c r="B44" s="6" t="n">
        <x:v>13</x:v>
      </x:c>
      <x:c r="C44" s="6" t="n">
        <x:f>IF(AND(B44&gt;'01 Deal Setup'!$B$12,B44&lt;='01 Deal Setup'!$B$12+'01 Deal Setup'!$B$10*'01 Deal Setup'!$B$11,MOD(B44-'01 Deal Setup'!$B$12-1,'01 Deal Setup'!$B$11)=0),1,0)</x:f>
        <x:v>0</x:v>
      </x:c>
      <x:c r="D44" s="116" t="n">
        <x:f>C44*$B$22</x:f>
        <x:v>0</x:v>
      </x:c>
      <x:c r="E44" s="116" t="n">
        <x:f>C44*$B$23</x:f>
        <x:v>0</x:v>
      </x:c>
      <x:c r="F44" s="116" t="n">
        <x:f>IF(B44='01 Deal Setup'!$B$12,$B$25,0)+IF(C44=1,$B$24,0)</x:f>
        <x:v>0</x:v>
      </x:c>
      <x:c r="G44" s="116" t="n">
        <x:f>SUM(D44:F44)</x:f>
        <x:v>0</x:v>
      </x:c>
      <x:c r="H44" s="6" t="n">
        <x:f>IF(C44=1,MAX($B$26,$B$9),IF(F44&gt;0,$B$9,0))</x:f>
        <x:v>0</x:v>
      </x:c>
      <x:c r="I44" s="6" t="n">
        <x:f>IF('01 Deal Setup'!$B$79="No",0,IF(AND(B44&gt;='01 Deal Setup'!$C$109,B44&lt;='01 Deal Setup'!$D$109,'01 Deal Setup'!$F$109="Compatible",'01 Deal Setup'!$G$109='01 Deal Setup'!$B$103),'01 Deal Setup'!$B$109,0)+IF(AND(B44&gt;='01 Deal Setup'!$C$110,B44&lt;='01 Deal Setup'!$D$110,'01 Deal Setup'!$F$110="Compatible",'01 Deal Setup'!$G$110='01 Deal Setup'!$B$103),'01 Deal Setup'!$B$110,0)+IF(AND(B44&gt;='01 Deal Setup'!$C$111,B44&lt;='01 Deal Setup'!$D$111,'01 Deal Setup'!$F$111="Compatible",'01 Deal Setup'!$G$111='01 Deal Setup'!$B$103),'01 Deal Setup'!$B$111,0))</x:f>
        <x:v>0</x:v>
      </x:c>
      <x:c r="J44" s="6" t="n">
        <x:f>MAX(0,H44-I44)</x:f>
        <x:v>0</x:v>
      </x:c>
      <x:c r="K44" s="116" t="n">
        <x:f>IF(C44=1,IF('01 Deal Setup'!$B$14="Concurrent",MAX(0,$B$8-I44)*$B$23/$B$8+MAX(0,$B$7-MAX(0,I44-$B$8))*$B$22/$B$7,MAX(0,H44-I44)*SUM(D44:E44)/MAX(1,H44)),0)+IF(F44&gt;0,MAX(0,$B$9-I44)*$F44/$B$9,0)</x:f>
        <x:v>0</x:v>
      </x:c>
      <x:c r="L44" s="116" t="n">
        <x:f>IF('01 Deal Setup'!$B$80="BYOC",0,G44-K44)</x:f>
        <x:v>0</x:v>
      </x:c>
      <x:c r="M44" s="120" t="n">
        <x:f>J44*'01 Deal Setup'!$B$86*'01 Deal Setup'!$B$83</x:f>
        <x:v>0</x:v>
      </x:c>
      <x:c r="N44" t="n">
        <x:f>IF(J44&gt;0,B44,999)</x:f>
        <x:v>999</x:v>
      </x:c>
      <x:c r="O44" t="n">
        <x:f>IF(J44&gt;0,B44,0)</x:f>
        <x:v>0</x:v>
      </x:c>
      <x:c r="P44" t="str">
        <x:f>IF(AND(J44&gt;0,OR('01 Deal Setup'!$B$80="Existing only",'01 Deal Setup'!$B$81="No")),"UNFUNDED",IF(AND(C44=1,$B$27&gt;'01 Deal Setup'!$B$86),"SLOW CYCLE",IF(G44=0,"-","PLANNED")))</x:f>
        <x:v>-</x:v>
      </x:c>
    </x:row>
    <x:row r="45" ht="20" customHeight="1">
      <x:c r="A45" s="6"/>
      <x:c r="B45" s="87" t="n">
        <x:v>14</x:v>
      </x:c>
      <x:c r="C45" s="87" t="n">
        <x:f>IF(AND(B45&gt;'01 Deal Setup'!$B$12,B45&lt;='01 Deal Setup'!$B$12+'01 Deal Setup'!$B$10*'01 Deal Setup'!$B$11,MOD(B45-'01 Deal Setup'!$B$12-1,'01 Deal Setup'!$B$11)=0),1,0)</x:f>
        <x:v>0</x:v>
      </x:c>
      <x:c r="D45" s="117" t="n">
        <x:f>C45*$B$22</x:f>
        <x:v>0</x:v>
      </x:c>
      <x:c r="E45" s="117" t="n">
        <x:f>C45*$B$23</x:f>
        <x:v>0</x:v>
      </x:c>
      <x:c r="F45" s="117" t="n">
        <x:f>IF(B45='01 Deal Setup'!$B$12,$B$25,0)+IF(C45=1,$B$24,0)</x:f>
        <x:v>0</x:v>
      </x:c>
      <x:c r="G45" s="117" t="n">
        <x:f>SUM(D45:F45)</x:f>
        <x:v>0</x:v>
      </x:c>
      <x:c r="H45" s="87" t="n">
        <x:f>IF(C45=1,MAX($B$26,$B$9),IF(F45&gt;0,$B$9,0))</x:f>
        <x:v>0</x:v>
      </x:c>
      <x:c r="I45" s="87" t="n">
        <x:f>IF('01 Deal Setup'!$B$79="No",0,IF(AND(B45&gt;='01 Deal Setup'!$C$109,B45&lt;='01 Deal Setup'!$D$109,'01 Deal Setup'!$F$109="Compatible",'01 Deal Setup'!$G$109='01 Deal Setup'!$B$103),'01 Deal Setup'!$B$109,0)+IF(AND(B45&gt;='01 Deal Setup'!$C$110,B45&lt;='01 Deal Setup'!$D$110,'01 Deal Setup'!$F$110="Compatible",'01 Deal Setup'!$G$110='01 Deal Setup'!$B$103),'01 Deal Setup'!$B$110,0)+IF(AND(B45&gt;='01 Deal Setup'!$C$111,B45&lt;='01 Deal Setup'!$D$111,'01 Deal Setup'!$F$111="Compatible",'01 Deal Setup'!$G$111='01 Deal Setup'!$B$103),'01 Deal Setup'!$B$111,0))</x:f>
        <x:v>0</x:v>
      </x:c>
      <x:c r="J45" s="87" t="n">
        <x:f>MAX(0,H45-I45)</x:f>
        <x:v>0</x:v>
      </x:c>
      <x:c r="K45" s="117" t="n">
        <x:f>IF(C45=1,IF('01 Deal Setup'!$B$14="Concurrent",MAX(0,$B$8-I45)*$B$23/$B$8+MAX(0,$B$7-MAX(0,I45-$B$8))*$B$22/$B$7,MAX(0,H45-I45)*SUM(D45:E45)/MAX(1,H45)),0)+IF(F45&gt;0,MAX(0,$B$9-I45)*$F45/$B$9,0)</x:f>
        <x:v>0</x:v>
      </x:c>
      <x:c r="L45" s="117" t="n">
        <x:f>IF('01 Deal Setup'!$B$80="BYOC",0,G45-K45)</x:f>
        <x:v>0</x:v>
      </x:c>
      <x:c r="M45" s="121" t="n">
        <x:f>J45*'01 Deal Setup'!$B$86*'01 Deal Setup'!$B$83</x:f>
        <x:v>0</x:v>
      </x:c>
      <x:c r="N45" s="114" t="n">
        <x:f>IF(J45&gt;0,B45,999)</x:f>
        <x:v>999</x:v>
      </x:c>
      <x:c r="O45" s="114" t="n">
        <x:f>IF(J45&gt;0,B45,0)</x:f>
        <x:v>0</x:v>
      </x:c>
      <x:c r="P45" s="114" t="str">
        <x:f>IF(AND(J45&gt;0,OR('01 Deal Setup'!$B$80="Existing only",'01 Deal Setup'!$B$81="No")),"UNFUNDED",IF(AND(C45=1,$B$27&gt;'01 Deal Setup'!$B$86),"SLOW CYCLE",IF(G45=0,"-","PLANNED")))</x:f>
        <x:v>-</x:v>
      </x:c>
    </x:row>
    <x:row r="46" ht="20" customHeight="1">
      <x:c r="A46" s="6"/>
      <x:c r="B46" s="6" t="n">
        <x:v>15</x:v>
      </x:c>
      <x:c r="C46" s="6" t="n">
        <x:f>IF(AND(B46&gt;'01 Deal Setup'!$B$12,B46&lt;='01 Deal Setup'!$B$12+'01 Deal Setup'!$B$10*'01 Deal Setup'!$B$11,MOD(B46-'01 Deal Setup'!$B$12-1,'01 Deal Setup'!$B$11)=0),1,0)</x:f>
        <x:v>0</x:v>
      </x:c>
      <x:c r="D46" s="116" t="n">
        <x:f>C46*$B$22</x:f>
        <x:v>0</x:v>
      </x:c>
      <x:c r="E46" s="116" t="n">
        <x:f>C46*$B$23</x:f>
        <x:v>0</x:v>
      </x:c>
      <x:c r="F46" s="116" t="n">
        <x:f>IF(B46='01 Deal Setup'!$B$12,$B$25,0)+IF(C46=1,$B$24,0)</x:f>
        <x:v>0</x:v>
      </x:c>
      <x:c r="G46" s="116" t="n">
        <x:f>SUM(D46:F46)</x:f>
        <x:v>0</x:v>
      </x:c>
      <x:c r="H46" s="6" t="n">
        <x:f>IF(C46=1,MAX($B$26,$B$9),IF(F46&gt;0,$B$9,0))</x:f>
        <x:v>0</x:v>
      </x:c>
      <x:c r="I46" s="6" t="n">
        <x:f>IF('01 Deal Setup'!$B$79="No",0,IF(AND(B46&gt;='01 Deal Setup'!$C$109,B46&lt;='01 Deal Setup'!$D$109,'01 Deal Setup'!$F$109="Compatible",'01 Deal Setup'!$G$109='01 Deal Setup'!$B$103),'01 Deal Setup'!$B$109,0)+IF(AND(B46&gt;='01 Deal Setup'!$C$110,B46&lt;='01 Deal Setup'!$D$110,'01 Deal Setup'!$F$110="Compatible",'01 Deal Setup'!$G$110='01 Deal Setup'!$B$103),'01 Deal Setup'!$B$110,0)+IF(AND(B46&gt;='01 Deal Setup'!$C$111,B46&lt;='01 Deal Setup'!$D$111,'01 Deal Setup'!$F$111="Compatible",'01 Deal Setup'!$G$111='01 Deal Setup'!$B$103),'01 Deal Setup'!$B$111,0))</x:f>
        <x:v>0</x:v>
      </x:c>
      <x:c r="J46" s="6" t="n">
        <x:f>MAX(0,H46-I46)</x:f>
        <x:v>0</x:v>
      </x:c>
      <x:c r="K46" s="116" t="n">
        <x:f>IF(C46=1,IF('01 Deal Setup'!$B$14="Concurrent",MAX(0,$B$8-I46)*$B$23/$B$8+MAX(0,$B$7-MAX(0,I46-$B$8))*$B$22/$B$7,MAX(0,H46-I46)*SUM(D46:E46)/MAX(1,H46)),0)+IF(F46&gt;0,MAX(0,$B$9-I46)*$F46/$B$9,0)</x:f>
        <x:v>0</x:v>
      </x:c>
      <x:c r="L46" s="116" t="n">
        <x:f>IF('01 Deal Setup'!$B$80="BYOC",0,G46-K46)</x:f>
        <x:v>0</x:v>
      </x:c>
      <x:c r="M46" s="120" t="n">
        <x:f>J46*'01 Deal Setup'!$B$86*'01 Deal Setup'!$B$83</x:f>
        <x:v>0</x:v>
      </x:c>
      <x:c r="N46" t="n">
        <x:f>IF(J46&gt;0,B46,999)</x:f>
        <x:v>999</x:v>
      </x:c>
      <x:c r="O46" t="n">
        <x:f>IF(J46&gt;0,B46,0)</x:f>
        <x:v>0</x:v>
      </x:c>
      <x:c r="P46" t="str">
        <x:f>IF(AND(J46&gt;0,OR('01 Deal Setup'!$B$80="Existing only",'01 Deal Setup'!$B$81="No")),"UNFUNDED",IF(AND(C46=1,$B$27&gt;'01 Deal Setup'!$B$86),"SLOW CYCLE",IF(G46=0,"-","PLANNED")))</x:f>
        <x:v>-</x:v>
      </x:c>
    </x:row>
    <x:row r="47" ht="20" customHeight="1">
      <x:c r="A47" s="6"/>
      <x:c r="B47" s="87" t="n">
        <x:v>16</x:v>
      </x:c>
      <x:c r="C47" s="87" t="n">
        <x:f>IF(AND(B47&gt;'01 Deal Setup'!$B$12,B47&lt;='01 Deal Setup'!$B$12+'01 Deal Setup'!$B$10*'01 Deal Setup'!$B$11,MOD(B47-'01 Deal Setup'!$B$12-1,'01 Deal Setup'!$B$11)=0),1,0)</x:f>
        <x:v>0</x:v>
      </x:c>
      <x:c r="D47" s="117" t="n">
        <x:f>C47*$B$22</x:f>
        <x:v>0</x:v>
      </x:c>
      <x:c r="E47" s="117" t="n">
        <x:f>C47*$B$23</x:f>
        <x:v>0</x:v>
      </x:c>
      <x:c r="F47" s="117" t="n">
        <x:f>IF(B47='01 Deal Setup'!$B$12,$B$25,0)+IF(C47=1,$B$24,0)</x:f>
        <x:v>0</x:v>
      </x:c>
      <x:c r="G47" s="117" t="n">
        <x:f>SUM(D47:F47)</x:f>
        <x:v>0</x:v>
      </x:c>
      <x:c r="H47" s="87" t="n">
        <x:f>IF(C47=1,MAX($B$26,$B$9),IF(F47&gt;0,$B$9,0))</x:f>
        <x:v>0</x:v>
      </x:c>
      <x:c r="I47" s="87" t="n">
        <x:f>IF('01 Deal Setup'!$B$79="No",0,IF(AND(B47&gt;='01 Deal Setup'!$C$109,B47&lt;='01 Deal Setup'!$D$109,'01 Deal Setup'!$F$109="Compatible",'01 Deal Setup'!$G$109='01 Deal Setup'!$B$103),'01 Deal Setup'!$B$109,0)+IF(AND(B47&gt;='01 Deal Setup'!$C$110,B47&lt;='01 Deal Setup'!$D$110,'01 Deal Setup'!$F$110="Compatible",'01 Deal Setup'!$G$110='01 Deal Setup'!$B$103),'01 Deal Setup'!$B$110,0)+IF(AND(B47&gt;='01 Deal Setup'!$C$111,B47&lt;='01 Deal Setup'!$D$111,'01 Deal Setup'!$F$111="Compatible",'01 Deal Setup'!$G$111='01 Deal Setup'!$B$103),'01 Deal Setup'!$B$111,0))</x:f>
        <x:v>0</x:v>
      </x:c>
      <x:c r="J47" s="87" t="n">
        <x:f>MAX(0,H47-I47)</x:f>
        <x:v>0</x:v>
      </x:c>
      <x:c r="K47" s="117" t="n">
        <x:f>IF(C47=1,IF('01 Deal Setup'!$B$14="Concurrent",MAX(0,$B$8-I47)*$B$23/$B$8+MAX(0,$B$7-MAX(0,I47-$B$8))*$B$22/$B$7,MAX(0,H47-I47)*SUM(D47:E47)/MAX(1,H47)),0)+IF(F47&gt;0,MAX(0,$B$9-I47)*$F47/$B$9,0)</x:f>
        <x:v>0</x:v>
      </x:c>
      <x:c r="L47" s="117" t="n">
        <x:f>IF('01 Deal Setup'!$B$80="BYOC",0,G47-K47)</x:f>
        <x:v>0</x:v>
      </x:c>
      <x:c r="M47" s="121" t="n">
        <x:f>J47*'01 Deal Setup'!$B$86*'01 Deal Setup'!$B$83</x:f>
        <x:v>0</x:v>
      </x:c>
      <x:c r="N47" s="114" t="n">
        <x:f>IF(J47&gt;0,B47,999)</x:f>
        <x:v>999</x:v>
      </x:c>
      <x:c r="O47" s="114" t="n">
        <x:f>IF(J47&gt;0,B47,0)</x:f>
        <x:v>0</x:v>
      </x:c>
      <x:c r="P47" s="114" t="str">
        <x:f>IF(AND(J47&gt;0,OR('01 Deal Setup'!$B$80="Existing only",'01 Deal Setup'!$B$81="No")),"UNFUNDED",IF(AND(C47=1,$B$27&gt;'01 Deal Setup'!$B$86),"SLOW CYCLE",IF(G47=0,"-","PLANNED")))</x:f>
        <x:v>-</x:v>
      </x:c>
    </x:row>
    <x:row r="48" ht="20" customHeight="1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</x:row>
    <x:row r="49" ht="24" customHeight="1">
      <x:c r="A49" s="21" t="str">
        <x:v>4   EXISTING VS NEW CAPACITY ECONOMICS</x:v>
      </x:c>
      <x:c r="B49" s="21"/>
      <x:c r="C49" s="21"/>
      <x:c r="D49" s="21"/>
      <x:c r="E49" s="6"/>
      <x:c r="F49" s="6"/>
      <x:c r="G49" s="6"/>
      <x:c r="H49" s="6"/>
      <x:c r="I49" s="6"/>
      <x:c r="J49" s="6"/>
      <x:c r="K49" s="6"/>
      <x:c r="L49" s="6"/>
    </x:row>
    <x:row r="50" ht="20" customHeight="1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</x:row>
    <x:row r="51" ht="20" customHeight="1">
      <x:c r="A51" s="6"/>
      <x:c r="B51" s="6"/>
      <x:c r="C51" s="6"/>
      <x:c r="D51" s="6"/>
      <x:c r="E51" s="6"/>
      <x:c r="F51" s="6"/>
      <x:c r="G51" s="6"/>
      <x:c r="H51" s="6"/>
      <x:c r="I51" s="6"/>
      <x:c r="J51" s="6"/>
      <x:c r="K51" s="6"/>
      <x:c r="L51" s="6"/>
    </x:row>
    <x:row r="52" ht="20" customHeight="1">
      <x:c r="A52" s="6" t="str">
        <x:v>Weeks needing new GPUs</x:v>
      </x:c>
      <x:c r="B52" s="42" t="n">
        <x:f>COUNTIF(J32:J47,"&gt;0")</x:f>
        <x:v>0</x:v>
      </x:c>
      <x:c r="C52" s="6" t="str">
        <x:v>weeks</x:v>
      </x:c>
      <x:c r="D52" s="6"/>
      <x:c r="E52" s="6"/>
      <x:c r="F52" s="6"/>
      <x:c r="G52" s="6"/>
      <x:c r="H52" s="6"/>
      <x:c r="I52" s="6"/>
      <x:c r="J52" s="6"/>
      <x:c r="K52" s="6"/>
      <x:c r="L52" s="6"/>
    </x:row>
    <x:row r="53" ht="20" customHeight="1">
      <x:c r="A53" s="6" t="str">
        <x:v>First shortage week</x:v>
      </x:c>
      <x:c r="B53" s="42" t="n">
        <x:f>IF(B52=0,0,MIN(N32:N47))</x:f>
        <x:v>0</x:v>
      </x:c>
      <x:c r="C53" s="6" t="str">
        <x:v>week</x:v>
      </x:c>
      <x:c r="D53" s="6"/>
      <x:c r="E53" s="6"/>
      <x:c r="F53" s="6"/>
      <x:c r="G53" s="6"/>
      <x:c r="H53" s="6"/>
      <x:c r="I53" s="6"/>
      <x:c r="J53" s="6"/>
      <x:c r="K53" s="6"/>
      <x:c r="L53" s="6"/>
    </x:row>
    <x:row r="54" ht="20" customHeight="1">
      <x:c r="A54" s="6" t="str">
        <x:v>Last shortage week</x:v>
      </x:c>
      <x:c r="B54" s="42" t="n">
        <x:f>MAX(O32:O47)</x:f>
        <x:v>0</x:v>
      </x:c>
      <x:c r="C54" s="6" t="str">
        <x:v>week</x:v>
      </x:c>
      <x:c r="D54" s="6"/>
      <x:c r="E54" s="6"/>
      <x:c r="F54" s="6"/>
      <x:c r="G54" s="6"/>
      <x:c r="H54" s="6"/>
      <x:c r="I54" s="6"/>
      <x:c r="J54" s="6"/>
      <x:c r="K54" s="6"/>
      <x:c r="L54" s="6"/>
    </x:row>
    <x:row r="55" ht="20" customHeight="1">
      <x:c r="A55" s="130" t="str">
        <x:v>Peak additional GPU units</x:v>
      </x:c>
      <x:c r="B55" s="136" t="n">
        <x:f>MAX(J32:J47)</x:f>
        <x:v>0</x:v>
      </x:c>
      <x:c r="C55" s="130" t="str">
        <x:v>GPUs</x:v>
      </x:c>
      <x:c r="D55" s="6"/>
      <x:c r="E55" s="6"/>
      <x:c r="F55" s="6"/>
      <x:c r="G55" s="6"/>
      <x:c r="H55" s="6"/>
      <x:c r="I55" s="6"/>
      <x:c r="J55" s="6"/>
      <x:c r="K55" s="6"/>
      <x:c r="L55" s="6"/>
    </x:row>
    <x:row r="56" ht="20" customHeight="1">
      <x:c r="A56" s="6" t="str">
        <x:v>New workload GPU-hours</x:v>
      </x:c>
      <x:c r="B56" s="104" t="n">
        <x:f>SUM(K32:K47)</x:f>
        <x:v>0</x:v>
      </x:c>
      <x:c r="C56" s="6" t="str">
        <x:v>GPU-hours</x:v>
      </x:c>
      <x:c r="D56" s="6"/>
      <x:c r="E56" s="6"/>
      <x:c r="F56" s="6"/>
      <x:c r="G56" s="6"/>
      <x:c r="H56" s="6"/>
      <x:c r="I56" s="6"/>
      <x:c r="J56" s="6"/>
      <x:c r="K56" s="6"/>
      <x:c r="L56" s="6"/>
    </x:row>
    <x:row r="57" ht="20" customHeight="1">
      <x:c r="A57" s="130" t="str">
        <x:v>Existing assigned GPU-hours</x:v>
      </x:c>
      <x:c r="B57" s="131" t="n">
        <x:f>SUM(L32:L47)</x:f>
        <x:v>3360.000000000001</x:v>
      </x:c>
      <x:c r="C57" s="130" t="str">
        <x:v>GPU-hours</x:v>
      </x:c>
      <x:c r="D57" s="6"/>
      <x:c r="E57" s="6"/>
      <x:c r="F57" s="6"/>
      <x:c r="G57" s="6"/>
      <x:c r="H57" s="6"/>
      <x:c r="I57" s="6"/>
      <x:c r="J57" s="6"/>
      <x:c r="K57" s="6"/>
      <x:c r="L57" s="6"/>
    </x:row>
    <x:row r="58" ht="20" customHeight="1">
      <x:c r="A58" s="6" t="str">
        <x:v>PayGo acquisition cost</x:v>
      </x:c>
      <x:c r="B58" s="124" t="n">
        <x:f>B56*'01 Deal Setup'!B82+IF(B55&gt;0,'01 Deal Setup'!B89,0)</x:f>
        <x:v>0</x:v>
      </x:c>
      <x:c r="C58" s="6" t="str">
        <x:v>$</x:v>
      </x:c>
      <x:c r="D58" s="6"/>
      <x:c r="E58" s="6"/>
      <x:c r="F58" s="6"/>
      <x:c r="G58" s="6"/>
      <x:c r="H58" s="6"/>
      <x:c r="I58" s="6"/>
      <x:c r="J58" s="6"/>
      <x:c r="K58" s="6"/>
      <x:c r="L58" s="6"/>
    </x:row>
    <x:row r="59" ht="20" customHeight="1">
      <x:c r="A59" s="6" t="str">
        <x:v>Weekly extension acquisition cost</x:v>
      </x:c>
      <x:c r="B59" s="124" t="n">
        <x:f>SUM(M32:M47)+IF(B55&gt;0,'01 Deal Setup'!B89,0)</x:f>
        <x:v>0</x:v>
      </x:c>
      <x:c r="C59" s="6" t="str">
        <x:v>$</x:v>
      </x:c>
      <x:c r="D59" s="6"/>
      <x:c r="E59" s="6"/>
      <x:c r="F59" s="6"/>
      <x:c r="G59" s="6"/>
      <x:c r="H59" s="6"/>
      <x:c r="I59" s="6"/>
      <x:c r="J59" s="6"/>
      <x:c r="K59" s="6"/>
      <x:c r="L59" s="6"/>
    </x:row>
    <x:row r="60" ht="20" customHeight="1">
      <x:c r="A60" s="6" t="str">
        <x:v>New reservation committed cost</x:v>
      </x:c>
      <x:c r="B60" s="124" t="n">
        <x:f>B55*MAX('01 Deal Setup'!B85,IF(B52=0,0,B54-B53+1))*'01 Deal Setup'!B86*'01 Deal Setup'!B84+IF(B55&gt;0,'01 Deal Setup'!B89,0)</x:f>
        <x:v>0</x:v>
      </x:c>
      <x:c r="C60" s="6" t="str">
        <x:v>$</x:v>
      </x:c>
      <x:c r="D60" s="6"/>
      <x:c r="E60" s="6"/>
      <x:c r="F60" s="6"/>
      <x:c r="G60" s="6"/>
      <x:c r="H60" s="6"/>
      <x:c r="I60" s="6"/>
      <x:c r="J60" s="6"/>
      <x:c r="K60" s="6"/>
      <x:c r="L60" s="6"/>
    </x:row>
    <x:row r="61" ht="20" customHeight="1">
      <x:c r="A61" s="6" t="str">
        <x:v>Cheapest incremental cash</x:v>
      </x:c>
      <x:c r="B61" s="124" t="n">
        <x:f>MIN(B58:B60)</x:f>
        <x:v>0</x:v>
      </x:c>
      <x:c r="C61" s="6" t="str">
        <x:v>$</x:v>
      </x:c>
      <x:c r="D61" s="6"/>
      <x:c r="E61" s="6"/>
      <x:c r="F61" s="6"/>
      <x:c r="G61" s="6"/>
      <x:c r="H61" s="6"/>
      <x:c r="I61" s="6"/>
      <x:c r="J61" s="6"/>
      <x:c r="K61" s="6"/>
      <x:c r="L61" s="6"/>
    </x:row>
    <x:row r="62" ht="20" customHeight="1">
      <x:c r="A62" s="6" t="str">
        <x:v>Selected purchase method</x:v>
      </x:c>
      <x:c r="B62" s="40" t="str">
        <x:f>IF('01 Deal Setup'!B80="BYOC","BYOC",IF(B55=0,"Existing",IF('01 Deal Setup'!B80="Auto",IF(B58&lt;=MIN(B59,B60),"PayGo",IF(B59&lt;=B60,"Extend","Reserve")),'01 Deal Setup'!B80)))</x:f>
        <x:v>Existing</x:v>
      </x:c>
      <x:c r="C62" s="6"/>
      <x:c r="D62" s="6"/>
      <x:c r="E62" s="6"/>
      <x:c r="F62" s="6"/>
      <x:c r="G62" s="6"/>
      <x:c r="H62" s="6"/>
      <x:c r="I62" s="6"/>
      <x:c r="J62" s="6"/>
      <x:c r="K62" s="6"/>
      <x:c r="L62" s="6"/>
    </x:row>
    <x:row r="63" ht="20" customHeight="1">
      <x:c r="A63" s="130" t="str">
        <x:v>Cash cost of new capacity</x:v>
      </x:c>
      <x:c r="B63" s="140" t="n">
        <x:f>IF(OR(B62="BYOC",B62="Existing only"),0,IF(B62="PayGo",B58,IF(B62="Extend",B59,B60)))</x:f>
        <x:v>0</x:v>
      </x:c>
      <x:c r="C63" s="130" t="str">
        <x:v>$</x:v>
      </x:c>
      <x:c r="D63" s="6"/>
      <x:c r="E63" s="6"/>
      <x:c r="F63" s="6"/>
      <x:c r="G63" s="6"/>
      <x:c r="H63" s="6"/>
      <x:c r="I63" s="6"/>
      <x:c r="J63" s="6"/>
      <x:c r="K63" s="6"/>
      <x:c r="L63" s="6"/>
    </x:row>
    <x:row r="64" ht="20" customHeight="1">
      <x:c r="A64" s="6" t="str">
        <x:v>New GPU-hours paid / committed</x:v>
      </x:c>
      <x:c r="B64" s="104" t="n">
        <x:f>IF(B62="Extend",SUM(J32:J47)*'01 Deal Setup'!B86,IF(B62="Reserve",B55*MAX('01 Deal Setup'!B85,IF(B52=0,0,B54-B53+1))*'01 Deal Setup'!B86,IF(B62="PayGo",B56,0)))</x:f>
        <x:v>0</x:v>
      </x:c>
      <x:c r="C64" s="6" t="str">
        <x:v>GPU-hours</x:v>
      </x:c>
      <x:c r="D64" s="6"/>
      <x:c r="E64" s="6"/>
      <x:c r="F64" s="6"/>
      <x:c r="G64" s="6"/>
      <x:c r="H64" s="6"/>
      <x:c r="I64" s="6"/>
      <x:c r="J64" s="6"/>
      <x:c r="K64" s="6"/>
      <x:c r="L64" s="6"/>
    </x:row>
    <x:row r="65" ht="20" customHeight="1">
      <x:c r="A65" s="6" t="str">
        <x:v>Unused new commitment hours</x:v>
      </x:c>
      <x:c r="B65" s="104" t="n">
        <x:f>MAX(0,B64-B56)</x:f>
        <x:v>0</x:v>
      </x:c>
      <x:c r="C65" s="6" t="str">
        <x:v>GPU-hours</x:v>
      </x:c>
      <x:c r="D65" s="6"/>
      <x:c r="E65" s="6"/>
      <x:c r="F65" s="6"/>
      <x:c r="G65" s="6"/>
      <x:c r="H65" s="6"/>
      <x:c r="I65" s="6"/>
      <x:c r="J65" s="6"/>
      <x:c r="K65" s="6"/>
      <x:c r="L65" s="6"/>
    </x:row>
    <x:row r="66" ht="20" customHeight="1">
      <x:c r="A66" s="6" t="str">
        <x:v>Managerial allocation of existing</x:v>
      </x:c>
      <x:c r="B66" s="124" t="n">
        <x:f>IF(B62="BYOC",0,B57*'01 Deal Setup'!B87)</x:f>
        <x:v>8400.000000000002</x:v>
      </x:c>
      <x:c r="C66" s="6" t="str">
        <x:v>$</x:v>
      </x:c>
      <x:c r="D66" s="6"/>
      <x:c r="E66" s="6"/>
      <x:c r="F66" s="6"/>
      <x:c r="G66" s="6"/>
      <x:c r="H66" s="6"/>
      <x:c r="I66" s="6"/>
      <x:c r="J66" s="6"/>
      <x:c r="K66" s="6"/>
      <x:c r="L66" s="6"/>
    </x:row>
    <x:row r="67" ht="20" customHeight="1">
      <x:c r="A67" s="6" t="str">
        <x:v>New capacity cash exposure</x:v>
      </x:c>
      <x:c r="B67" s="124" t="n">
        <x:f>B63</x:f>
        <x:v>0</x:v>
      </x:c>
      <x:c r="C67" s="6" t="str">
        <x:v>$</x:v>
      </x:c>
      <x:c r="D67" s="6"/>
      <x:c r="E67" s="6"/>
      <x:c r="F67" s="6"/>
      <x:c r="G67" s="6"/>
      <x:c r="H67" s="6"/>
      <x:c r="I67" s="6"/>
      <x:c r="J67" s="6"/>
      <x:c r="K67" s="6"/>
      <x:c r="L67" s="6"/>
    </x:row>
    <x:row r="68" ht="20" customHeight="1">
      <x:c r="A68" s="6" t="str">
        <x:v>Existing alternative-use value</x:v>
      </x:c>
      <x:c r="B68" s="124" t="n">
        <x:f>IF(B62="BYOC",0,B57*'01 Deal Setup'!B88)</x:f>
        <x:v>0</x:v>
      </x:c>
      <x:c r="C68" s="6" t="str">
        <x:v>$</x:v>
      </x:c>
      <x:c r="D68" s="6"/>
      <x:c r="E68" s="6"/>
      <x:c r="F68" s="6"/>
      <x:c r="G68" s="6"/>
      <x:c r="H68" s="6"/>
      <x:c r="I68" s="6"/>
      <x:c r="J68" s="6"/>
      <x:c r="K68" s="6"/>
      <x:c r="L68" s="6"/>
    </x:row>
    <x:row r="69" ht="20" customHeight="1">
      <x:c r="A69" s="130" t="str">
        <x:v>Economic decision cost (cash + opportunity)</x:v>
      </x:c>
      <x:c r="B69" s="140" t="n">
        <x:f>B67+B68</x:f>
        <x:v>0</x:v>
      </x:c>
      <x:c r="C69" s="130" t="str">
        <x:v>$</x:v>
      </x:c>
      <x:c r="D69" s="6"/>
      <x:c r="E69" s="6"/>
      <x:c r="F69" s="6"/>
      <x:c r="G69" s="6"/>
      <x:c r="H69" s="6"/>
      <x:c r="I69" s="6"/>
      <x:c r="J69" s="6"/>
      <x:c r="K69" s="6"/>
      <x:c r="L69" s="6"/>
    </x:row>
    <x:row r="70" ht="20" customHeight="1">
      <x:c r="A70" s="130" t="str">
        <x:v>Capacity / schedule verdict</x:v>
      </x:c>
      <x:c r="B70" s="144" t="str">
        <x:f>IF(AND('01 Deal Setup'!G28="B300",'01 Deal Setup'!B103&lt;&gt;"B300"),"HARDWARE MISMATCH",IF(B28&gt;16,"EXTEND CALENDAR",IF(B27&gt;'01 Deal Setup'!B86,"SCHEDULE RISK",IF(COUNTIF(P32:P47,"UNFUNDED")&gt;0,"UNFUNDED CAPACITY","FEASIBLE*"))))</x:f>
        <x:v>FEASIBLE*</x:v>
      </x:c>
      <x:c r="C70" s="130"/>
      <x:c r="D70" s="6"/>
      <x:c r="E70" s="6"/>
      <x:c r="F70" s="6"/>
      <x:c r="G70" s="6"/>
      <x:c r="H70" s="6"/>
      <x:c r="I70" s="6"/>
      <x:c r="J70" s="6"/>
      <x:c r="K70" s="6"/>
      <x:c r="L70" s="6"/>
    </x:row>
    <x:row r="71" ht="20" customHeight="1">
      <x:c r="A71" s="6"/>
      <x:c r="B71" s="6"/>
      <x:c r="C71" s="6"/>
      <x:c r="D71" s="6"/>
      <x:c r="E71" s="6"/>
      <x:c r="F71" s="6"/>
      <x:c r="G71" s="6"/>
      <x:c r="H71" s="6"/>
      <x:c r="I71" s="6"/>
      <x:c r="J71" s="6"/>
      <x:c r="K71" s="6"/>
      <x:c r="L71" s="6"/>
    </x:row>
    <x:row r="72" ht="24" customHeight="1">
      <x:c r="A72" s="21" t="str">
        <x:v>5   FULL DEAL COGS (MANAGERIAL COST VIEW)</x:v>
      </x:c>
      <x:c r="B72" s="21"/>
      <x:c r="C72" s="21"/>
      <x:c r="D72" s="21"/>
      <x:c r="E72" s="6"/>
      <x:c r="F72" s="6"/>
      <x:c r="G72" s="6"/>
      <x:c r="H72" s="6"/>
      <x:c r="I72" s="6"/>
      <x:c r="J72" s="6"/>
      <x:c r="K72" s="6"/>
      <x:c r="L72" s="6"/>
    </x:row>
    <x:row r="73" ht="20" customHeight="1">
      <x:c r="A73" s="6" t="str">
        <x:v>Forward deployed engineering</x:v>
      </x:c>
      <x:c r="B73" s="124" t="n">
        <x:f>('01 Deal Setup'!B50+B10*'01 Deal Setup'!B51)*'01 Deal Setup'!B52</x:f>
        <x:v>28800</x:v>
      </x:c>
      <x:c r="C73" s="6" t="str">
        <x:v>$</x:v>
      </x:c>
      <x:c r="D73" s="6"/>
      <x:c r="E73" s="6"/>
      <x:c r="F73" s="6"/>
      <x:c r="G73" s="6"/>
      <x:c r="H73" s="6"/>
      <x:c r="I73" s="6"/>
      <x:c r="J73" s="6"/>
      <x:c r="K73" s="6"/>
      <x:c r="L73" s="6"/>
    </x:row>
    <x:row r="74" ht="20" customHeight="1">
      <x:c r="A74" s="6" t="str">
        <x:v>ML research engineering</x:v>
      </x:c>
      <x:c r="B74" s="124" t="n">
        <x:f>('01 Deal Setup'!B53+B10*'01 Deal Setup'!B54)*'01 Deal Setup'!B55</x:f>
        <x:v>32000</x:v>
      </x:c>
      <x:c r="C74" s="6" t="str">
        <x:v>$</x:v>
      </x:c>
      <x:c r="D74" s="6"/>
      <x:c r="E74" s="6"/>
      <x:c r="F74" s="6"/>
      <x:c r="G74" s="6"/>
      <x:c r="H74" s="6"/>
      <x:c r="I74" s="6"/>
      <x:c r="J74" s="6"/>
      <x:c r="K74" s="6"/>
      <x:c r="L74" s="6"/>
    </x:row>
    <x:row r="75" ht="20" customHeight="1">
      <x:c r="A75" s="6" t="str">
        <x:v>Infrastructure engineering</x:v>
      </x:c>
      <x:c r="B75" s="124" t="n">
        <x:f>('01 Deal Setup'!B56+B10*'01 Deal Setup'!B57)*'01 Deal Setup'!B58</x:f>
        <x:v>10200</x:v>
      </x:c>
      <x:c r="C75" s="6" t="str">
        <x:v>$</x:v>
      </x:c>
      <x:c r="D75" s="6"/>
      <x:c r="E75" s="6"/>
      <x:c r="F75" s="6"/>
      <x:c r="G75" s="6"/>
      <x:c r="H75" s="6"/>
      <x:c r="I75" s="6"/>
      <x:c r="J75" s="6"/>
      <x:c r="K75" s="6"/>
      <x:c r="L75" s="6"/>
    </x:row>
    <x:row r="76" ht="20" customHeight="1">
      <x:c r="A76" s="6" t="str">
        <x:v>Delivery coordination</x:v>
      </x:c>
      <x:c r="B76" s="124" t="n">
        <x:f>('01 Deal Setup'!B59+B10*'01 Deal Setup'!B60)*'01 Deal Setup'!B61</x:f>
        <x:v>6000</x:v>
      </x:c>
      <x:c r="C76" s="6" t="str">
        <x:v>$</x:v>
      </x:c>
      <x:c r="D76" s="6"/>
      <x:c r="E76" s="6"/>
      <x:c r="F76" s="6"/>
      <x:c r="G76" s="6"/>
      <x:c r="H76" s="6"/>
      <x:c r="I76" s="6"/>
      <x:c r="J76" s="6"/>
      <x:c r="K76" s="6"/>
      <x:c r="L76" s="6"/>
    </x:row>
    <x:row r="77" ht="20" customHeight="1">
      <x:c r="A77" s="130" t="str">
        <x:v>Total attributable engineering</x:v>
      </x:c>
      <x:c r="B77" s="140" t="n">
        <x:f>SUM(B73:B76)</x:f>
        <x:v>77000</x:v>
      </x:c>
      <x:c r="C77" s="130" t="str">
        <x:v>$</x:v>
      </x:c>
      <x:c r="D77" s="6"/>
      <x:c r="E77" s="6"/>
      <x:c r="F77" s="6"/>
      <x:c r="G77" s="6"/>
      <x:c r="H77" s="6"/>
      <x:c r="I77" s="6"/>
      <x:c r="J77" s="6"/>
      <x:c r="K77" s="6"/>
      <x:c r="L77" s="6"/>
    </x:row>
    <x:row r="78" ht="20" customHeight="1">
      <x:c r="A78" s="6" t="str">
        <x:v>Graders, sandboxes and external APIs</x:v>
      </x:c>
      <x:c r="B78" s="124" t="n">
        <x:f>'01 Deal Setup'!B62+'01 Deal Setup'!B63*B10</x:f>
        <x:v>6000</x:v>
      </x:c>
      <x:c r="C78" s="6" t="str">
        <x:v>$</x:v>
      </x:c>
      <x:c r="D78" s="6"/>
      <x:c r="E78" s="6"/>
      <x:c r="F78" s="6"/>
      <x:c r="G78" s="6"/>
      <x:c r="H78" s="6"/>
      <x:c r="I78" s="6"/>
      <x:c r="J78" s="6"/>
      <x:c r="K78" s="6"/>
      <x:c r="L78" s="6"/>
    </x:row>
    <x:row r="79" ht="20" customHeight="1">
      <x:c r="A79" s="6" t="str">
        <x:v>Storage and networking</x:v>
      </x:c>
      <x:c r="B79" s="124" t="n">
        <x:f>'01 Deal Setup'!B64</x:f>
        <x:v>1500</x:v>
      </x:c>
      <x:c r="C79" s="6" t="str">
        <x:v>$</x:v>
      </x:c>
      <x:c r="D79" s="6"/>
      <x:c r="E79" s="6"/>
      <x:c r="F79" s="6"/>
      <x:c r="G79" s="6"/>
      <x:c r="H79" s="6"/>
      <x:c r="I79" s="6"/>
      <x:c r="J79" s="6"/>
      <x:c r="K79" s="6"/>
      <x:c r="L79" s="6"/>
    </x:row>
    <x:row r="80" ht="20" customHeight="1">
      <x:c r="A80" s="6" t="str">
        <x:v>Direct platform support</x:v>
      </x:c>
      <x:c r="B80" s="124" t="n">
        <x:f>'01 Deal Setup'!B65</x:f>
        <x:v>4000</x:v>
      </x:c>
      <x:c r="C80" s="6" t="str">
        <x:v>$</x:v>
      </x:c>
      <x:c r="D80" s="6"/>
      <x:c r="E80" s="6"/>
      <x:c r="F80" s="6"/>
      <x:c r="G80" s="6"/>
      <x:c r="H80" s="6"/>
      <x:c r="I80" s="6"/>
      <x:c r="J80" s="6"/>
      <x:c r="K80" s="6"/>
      <x:c r="L80" s="6"/>
    </x:row>
    <x:row r="81" ht="20" customHeight="1">
      <x:c r="A81" s="6" t="str">
        <x:v>GPU COGS (allocated + new cash)</x:v>
      </x:c>
      <x:c r="B81" s="124" t="n">
        <x:f>B66+B63</x:f>
        <x:v>8400.000000000002</x:v>
      </x:c>
      <x:c r="C81" s="6" t="str">
        <x:v>$</x:v>
      </x:c>
      <x:c r="D81" s="6"/>
      <x:c r="E81" s="6"/>
      <x:c r="F81" s="6"/>
      <x:c r="G81" s="6"/>
      <x:c r="H81" s="6"/>
      <x:c r="I81" s="6"/>
      <x:c r="J81" s="6"/>
      <x:c r="K81" s="6"/>
      <x:c r="L81" s="6"/>
    </x:row>
    <x:row r="82" ht="20" customHeight="1">
      <x:c r="A82" s="130" t="str">
        <x:v>Base cost to deliver</x:v>
      </x:c>
      <x:c r="B82" s="140" t="n">
        <x:f>SUM(B77:B81)</x:f>
        <x:v>96900</x:v>
      </x:c>
      <x:c r="C82" s="130" t="str">
        <x:v>$</x:v>
      </x:c>
      <x:c r="D82" s="6"/>
      <x:c r="E82" s="6"/>
      <x:c r="F82" s="6"/>
      <x:c r="G82" s="6"/>
      <x:c r="H82" s="6"/>
      <x:c r="I82" s="6"/>
      <x:c r="J82" s="6"/>
      <x:c r="K82" s="6"/>
      <x:c r="L82" s="6"/>
    </x:row>
    <x:row r="83" ht="20" customHeight="1">
      <x:c r="A83" s="6" t="str">
        <x:v>Expected rework / failure allowance</x:v>
      </x:c>
      <x:c r="B83" s="124" t="n">
        <x:f>B82*'01 Deal Setup'!B66</x:f>
        <x:v>9690</x:v>
      </x:c>
      <x:c r="C83" s="6" t="str">
        <x:v>$</x:v>
      </x:c>
      <x:c r="D83" s="6"/>
      <x:c r="E83" s="6"/>
      <x:c r="F83" s="6"/>
      <x:c r="G83" s="6"/>
      <x:c r="H83" s="6"/>
      <x:c r="I83" s="6"/>
      <x:c r="J83" s="6"/>
      <x:c r="K83" s="6"/>
      <x:c r="L83" s="6"/>
    </x:row>
    <x:row r="84" ht="20" customHeight="1">
      <x:c r="A84" s="69" t="str">
        <x:v>Risk-adjusted expected COGS</x:v>
      </x:c>
      <x:c r="B84" s="152" t="n">
        <x:f>SUM(B82:B83)</x:f>
        <x:v>106590</x:v>
      </x:c>
      <x:c r="C84" s="69" t="str">
        <x:v>$</x:v>
      </x:c>
      <x:c r="D84" s="6"/>
      <x:c r="E84" s="6"/>
      <x:c r="F84" s="6"/>
      <x:c r="G84" s="6"/>
      <x:c r="H84" s="6"/>
      <x:c r="I84" s="6"/>
      <x:c r="J84" s="6"/>
      <x:c r="K84" s="6"/>
      <x:c r="L84" s="6"/>
    </x:row>
    <x:row r="85" ht="20" customHeight="1">
      <x:c r="A85" s="6" t="str">
        <x:v>COGS + opportunity view</x:v>
      </x:c>
      <x:c r="B85" s="124" t="n">
        <x:f>B84+B68</x:f>
        <x:v>106590</x:v>
      </x:c>
      <x:c r="C85" s="6" t="str">
        <x:v>$</x:v>
      </x:c>
      <x:c r="D85" s="6"/>
      <x:c r="E85" s="6"/>
      <x:c r="F85" s="6"/>
      <x:c r="G85" s="6"/>
      <x:c r="H85" s="6"/>
      <x:c r="I85" s="6"/>
      <x:c r="J85" s="6"/>
      <x:c r="K85" s="6"/>
      <x:c r="L85" s="6"/>
    </x:row>
    <x:row r="86" ht="20" customHeight="1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</x:row>
    <x:row r="87" ht="20" customHeight="1">
      <x:c r="A87" s="6"/>
      <x:c r="B87" s="6"/>
      <x:c r="C87" s="6"/>
      <x:c r="D87" s="6"/>
      <x:c r="E87" s="6"/>
      <x:c r="F87" s="6"/>
      <x:c r="G87" s="6"/>
      <x:c r="H87" s="6"/>
      <x:c r="I87" s="6"/>
      <x:c r="J87" s="6"/>
      <x:c r="K87" s="6"/>
      <x:c r="L87" s="6"/>
    </x:row>
    <x:row r="88" ht="20" customHeight="1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</x:row>
    <x:row r="89" ht="24" customHeight="1">
      <x:c r="A89" s="21" t="str">
        <x:v>6   RECOMMENDED PRICE / GROSS MARGIN</x:v>
      </x:c>
      <x:c r="B89" s="21"/>
      <x:c r="C89" s="21"/>
      <x:c r="D89" s="21"/>
      <x:c r="E89" s="6"/>
      <x:c r="F89" s="6"/>
      <x:c r="G89" s="6"/>
      <x:c r="H89" s="6"/>
      <x:c r="I89" s="6"/>
      <x:c r="J89" s="6"/>
      <x:c r="K89" s="6"/>
      <x:c r="L89" s="6"/>
    </x:row>
    <x:row r="90" ht="20" customHeight="1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</x:row>
    <x:row r="91" ht="20" customHeight="1">
      <x:c r="A91" s="6" t="str">
        <x:v>Readiness / baseline</x:v>
      </x:c>
      <x:c r="B91" s="124" t="n">
        <x:f>'01 Deal Setup'!B68</x:f>
        <x:v>30000</x:v>
      </x:c>
      <x:c r="C91" s="6" t="str">
        <x:v>$</x:v>
      </x:c>
      <x:c r="D91" s="6"/>
      <x:c r="E91" s="6"/>
      <x:c r="F91" s="6"/>
      <x:c r="G91" s="6"/>
      <x:c r="H91" s="6"/>
      <x:c r="I91" s="6"/>
      <x:c r="J91" s="6"/>
      <x:c r="K91" s="6"/>
      <x:c r="L91" s="6"/>
    </x:row>
    <x:row r="92" ht="20" customHeight="1">
      <x:c r="A92" s="6" t="str">
        <x:v>Engineering and integration</x:v>
      </x:c>
      <x:c r="B92" s="124" t="n">
        <x:f>'01 Deal Setup'!B69</x:f>
        <x:v>78000</x:v>
      </x:c>
      <x:c r="C92" s="6" t="str">
        <x:v>$</x:v>
      </x:c>
      <x:c r="D92" s="6"/>
      <x:c r="E92" s="6"/>
      <x:c r="F92" s="6"/>
      <x:c r="G92" s="6"/>
      <x:c r="H92" s="6"/>
      <x:c r="I92" s="6"/>
      <x:c r="J92" s="6"/>
      <x:c r="K92" s="6"/>
      <x:c r="L92" s="6"/>
    </x:row>
    <x:row r="93" ht="20" customHeight="1">
      <x:c r="A93" s="6" t="str">
        <x:v>Authorized RL cycles</x:v>
      </x:c>
      <x:c r="B93" s="124" t="n">
        <x:f>B10*'01 Deal Setup'!B70*IF('01 Deal Setup'!$G$31=1,0.65,IF('01 Deal Setup'!$G$31=2,1,2.5))</x:f>
        <x:v>72000</x:v>
      </x:c>
      <x:c r="C93" s="6" t="str">
        <x:v>$</x:v>
      </x:c>
      <x:c r="D93" s="6"/>
      <x:c r="E93" s="6"/>
      <x:c r="F93" s="6"/>
      <x:c r="G93" s="6"/>
      <x:c r="H93" s="6"/>
      <x:c r="I93" s="6"/>
      <x:c r="J93" s="6"/>
      <x:c r="K93" s="6"/>
      <x:c r="L93" s="6"/>
    </x:row>
    <x:row r="94" ht="20" customHeight="1">
      <x:c r="A94" s="6" t="str">
        <x:v>Extra-cycle engineering</x:v>
      </x:c>
      <x:c r="B94" s="124" t="n">
        <x:f>MAX(0,B10-'01 Deal Setup'!B71)*'01 Deal Setup'!B72</x:f>
        <x:v>0</x:v>
      </x:c>
      <x:c r="C94" s="6" t="str">
        <x:v>$</x:v>
      </x:c>
      <x:c r="D94" s="6"/>
      <x:c r="E94" s="6"/>
      <x:c r="F94" s="6"/>
      <x:c r="G94" s="6"/>
      <x:c r="H94" s="6"/>
      <x:c r="I94" s="6"/>
      <x:c r="J94" s="6"/>
      <x:c r="K94" s="6"/>
      <x:c r="L94" s="6"/>
    </x:row>
    <x:row r="95" ht="20" customHeight="1">
      <x:c r="A95" s="6" t="str">
        <x:v>Independent acceptance / handoff</x:v>
      </x:c>
      <x:c r="B95" s="124" t="n">
        <x:f>'01 Deal Setup'!B73</x:f>
        <x:v>30000</x:v>
      </x:c>
      <x:c r="C95" s="6" t="str">
        <x:v>$</x:v>
      </x:c>
      <x:c r="D95" s="6"/>
      <x:c r="E95" s="6"/>
      <x:c r="F95" s="6"/>
      <x:c r="G95" s="6"/>
      <x:c r="H95" s="6"/>
      <x:c r="I95" s="6"/>
      <x:c r="J95" s="6"/>
      <x:c r="K95" s="6"/>
      <x:c r="L95" s="6"/>
    </x:row>
    <x:row r="96" ht="20" customHeight="1">
      <x:c r="A96" s="6" t="str">
        <x:v>Negotiated discount</x:v>
      </x:c>
      <x:c r="B96" s="124" t="n">
        <x:f>-SUM(B91:B95)*'01 Deal Setup'!B75</x:f>
        <x:v>0</x:v>
      </x:c>
      <x:c r="C96" s="6" t="str">
        <x:v>$</x:v>
      </x:c>
      <x:c r="D96" s="6"/>
      <x:c r="E96" s="6"/>
      <x:c r="F96" s="6"/>
      <x:c r="G96" s="6"/>
      <x:c r="H96" s="6"/>
      <x:c r="I96" s="6"/>
      <x:c r="J96" s="6"/>
      <x:c r="K96" s="6"/>
      <x:c r="L96" s="6"/>
    </x:row>
    <x:row r="97" ht="20" customHeight="1">
      <x:c r="A97" s="6" t="str">
        <x:v>Base customer proposal</x:v>
      </x:c>
      <x:c r="B97" s="124" t="n">
        <x:f>SUM(B91:B96)</x:f>
        <x:v>210000</x:v>
      </x:c>
      <x:c r="C97" s="6" t="str">
        <x:v>$</x:v>
      </x:c>
      <x:c r="D97" s="6"/>
      <x:c r="E97" s="6"/>
      <x:c r="F97" s="6"/>
      <x:c r="G97" s="6"/>
      <x:c r="H97" s="6"/>
      <x:c r="I97" s="6"/>
      <x:c r="J97" s="6"/>
      <x:c r="K97" s="6"/>
      <x:c r="L97" s="6"/>
    </x:row>
    <x:row r="98" ht="20" customHeight="1">
      <x:c r="A98" s="6" t="str">
        <x:v>Target-margin price floor</x:v>
      </x:c>
      <x:c r="B98" s="124" t="n">
        <x:f>B84/MAX(0.01,1-'01 Deal Setup'!B76)</x:f>
        <x:v>193799.99999999997</x:v>
      </x:c>
      <x:c r="C98" s="6" t="str">
        <x:v>$</x:v>
      </x:c>
      <x:c r="D98" s="6"/>
      <x:c r="E98" s="6"/>
      <x:c r="F98" s="6"/>
      <x:c r="G98" s="6"/>
      <x:c r="H98" s="6"/>
      <x:c r="I98" s="6"/>
      <x:c r="J98" s="6"/>
      <x:c r="K98" s="6"/>
      <x:c r="L98" s="6"/>
    </x:row>
    <x:row r="99" ht="20" customHeight="1">
      <x:c r="A99" s="6" t="str">
        <x:v>Transparent capacity / risk adjustment</x:v>
      </x:c>
      <x:c r="B99" s="124" t="n">
        <x:f>MAX(0,B98-B97)</x:f>
        <x:v>0</x:v>
      </x:c>
      <x:c r="C99" s="6" t="str">
        <x:v>$</x:v>
      </x:c>
      <x:c r="D99" s="6"/>
      <x:c r="E99" s="6"/>
      <x:c r="F99" s="6"/>
      <x:c r="G99" s="6"/>
      <x:c r="H99" s="6"/>
      <x:c r="I99" s="6"/>
      <x:c r="J99" s="6"/>
      <x:c r="K99" s="6"/>
      <x:c r="L99" s="6"/>
    </x:row>
    <x:row r="100" ht="20" customHeight="1">
      <x:c r="A100" s="69" t="str">
        <x:v>SUGGESTED CUSTOMER QUOTE</x:v>
      </x:c>
      <x:c r="B100" s="152" t="n">
        <x:f>SUM(B97,B99)</x:f>
        <x:v>210000</x:v>
      </x:c>
      <x:c r="C100" s="69" t="str">
        <x:v>$</x:v>
      </x:c>
      <x:c r="D100" s="6"/>
      <x:c r="E100" s="6"/>
      <x:c r="F100" s="6"/>
      <x:c r="G100" s="6"/>
      <x:c r="H100" s="6"/>
      <x:c r="I100" s="6"/>
      <x:c r="J100" s="6"/>
      <x:c r="K100" s="6"/>
      <x:c r="L100" s="6"/>
    </x:row>
    <x:row r="101" ht="20" customHeight="1">
      <x:c r="A101" s="130" t="str">
        <x:v>Expected deal gross margin</x:v>
      </x:c>
      <x:c r="B101" s="156" t="n">
        <x:f>IF(B100=0,0,1-B84/B100)</x:f>
        <x:v>0.49242857142857144</x:v>
      </x:c>
      <x:c r="C101" s="130" t="str">
        <x:v>%</x:v>
      </x:c>
      <x:c r="D101" s="6"/>
      <x:c r="E101" s="6"/>
      <x:c r="F101" s="6"/>
      <x:c r="G101" s="6"/>
      <x:c r="H101" s="6"/>
      <x:c r="I101" s="6"/>
      <x:c r="J101" s="6"/>
      <x:c r="K101" s="6"/>
      <x:c r="L101" s="6"/>
    </x:row>
    <x:row r="102" ht="20" customHeight="1">
      <x:c r="A102" s="6" t="str">
        <x:v>Budget ceiling</x:v>
      </x:c>
      <x:c r="B102" s="124" t="n">
        <x:f>'01 Deal Setup'!B22</x:f>
        <x:v>260000</x:v>
      </x:c>
      <x:c r="C102" s="6" t="str">
        <x:v>$</x:v>
      </x:c>
      <x:c r="D102" s="6"/>
      <x:c r="E102" s="6"/>
      <x:c r="F102" s="6"/>
      <x:c r="G102" s="6"/>
      <x:c r="H102" s="6"/>
      <x:c r="I102" s="6"/>
      <x:c r="J102" s="6"/>
      <x:c r="K102" s="6"/>
      <x:c r="L102" s="6"/>
    </x:row>
    <x:row r="103" ht="20" customHeight="1">
      <x:c r="A103" s="6" t="str">
        <x:v>Remaining approved budget</x:v>
      </x:c>
      <x:c r="B103" s="124" t="n">
        <x:f>B102-B100</x:f>
        <x:v>50000</x:v>
      </x:c>
      <x:c r="C103" s="6" t="str">
        <x:v>$</x:v>
      </x:c>
      <x:c r="D103" s="6"/>
      <x:c r="E103" s="6"/>
      <x:c r="F103" s="6"/>
      <x:c r="G103" s="6"/>
      <x:c r="H103" s="6"/>
      <x:c r="I103" s="6"/>
      <x:c r="J103" s="6"/>
      <x:c r="K103" s="6"/>
      <x:c r="L103" s="6"/>
    </x:row>
    <x:row r="104" ht="20" customHeight="1">
      <x:c r="A104" s="130" t="str">
        <x:v>Commercial approval status</x:v>
      </x:c>
      <x:c r="B104" s="144" t="str">
        <x:f>IF(OR('01 Deal Setup'!B43&lt;=0,'01 Deal Setup'!B44&lt;=0,'01 Deal Setup'!B45&lt;=0,'01 Deal Setup'!B98&lt;=0,'01 Deal Setup'!B10&lt;1,'01 Deal Setup'!B10&gt;10,'01 Deal Setup'!B35&lt;0,'01 Deal Setup'!B36&lt;0,'01 Deal Setup'!B37&lt;0,'01 Deal Setup'!B38&lt;0,'01 Deal Setup'!B40&lt;0,'01 Deal Setup'!B82&lt;0,'01 Deal Setup'!B84&lt;0),"HOLD - INPUT",IF('01 Deal Setup'!G30&lt;&gt;"QUALIFIED*","HOLD - MODEL",IF(B70&lt;&gt;"FEASIBLE*","HOLD - CAPACITY",IF(B103&lt;0,"HOLD - BUDGET",IF(B101&lt;'01 Deal Setup'!B77,"HOLD - MARGIN","READY FOR REVIEW")))))</x:f>
        <x:v>HOLD - MODEL</x:v>
      </x:c>
      <x:c r="C104" s="130"/>
      <x:c r="D104" s="6"/>
      <x:c r="E104" s="6"/>
      <x:c r="F104" s="6"/>
      <x:c r="G104" s="6"/>
      <x:c r="H104" s="6"/>
      <x:c r="I104" s="6"/>
      <x:c r="J104" s="6"/>
      <x:c r="K104" s="6"/>
      <x:c r="L104" s="6"/>
    </x:row>
    <x:row r="105" ht="20" customHeight="1">
      <x:c r="A105" s="6"/>
      <x:c r="B105" s="6"/>
      <x:c r="C105" s="6"/>
      <x:c r="D105" s="6"/>
      <x:c r="E105" s="6"/>
      <x:c r="F105" s="6"/>
      <x:c r="G105" s="6"/>
      <x:c r="H105" s="6"/>
      <x:c r="I105" s="6"/>
      <x:c r="J105" s="6"/>
      <x:c r="K105" s="6"/>
      <x:c r="L105" s="6"/>
    </x:row>
    <x:row r="106" ht="20" customHeight="1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</x:row>
    <x:row r="107" ht="20" customHeight="1">
      <x:c r="A107" s="6"/>
      <x:c r="B107" s="6"/>
      <x:c r="C107" s="6"/>
      <x:c r="D107" s="6"/>
      <x:c r="E107" s="6"/>
      <x:c r="F107" s="6"/>
      <x:c r="G107" s="6"/>
      <x:c r="H107" s="6"/>
      <x:c r="I107" s="6"/>
      <x:c r="J107" s="6"/>
      <x:c r="K107" s="6"/>
      <x:c r="L107" s="6"/>
    </x:row>
    <x:row r="108" ht="20" customHeight="1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</x:row>
    <x:row r="109" ht="24" customHeight="1">
      <x:c r="A109" s="21" t="str">
        <x:v>7   PRODUCTION INFERENCE - SEPARATE SERVICE ORDER</x:v>
      </x:c>
      <x:c r="B109" s="21"/>
      <x:c r="C109" s="21"/>
      <x:c r="D109" s="21"/>
      <x:c r="E109" s="6"/>
      <x:c r="F109" s="6"/>
      <x:c r="G109" s="6"/>
      <x:c r="H109" s="6"/>
      <x:c r="I109" s="6"/>
      <x:c r="J109" s="6"/>
      <x:c r="K109" s="6"/>
      <x:c r="L109" s="6"/>
    </x:row>
    <x:row r="110" ht="20" customHeight="1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</x:row>
    <x:row r="111" ht="20" customHeight="1">
      <x:c r="A111" s="6" t="str">
        <x:v>Input + output equivalent tokens / month</x:v>
      </x:c>
      <x:c r="B111" s="42" t="n">
        <x:f>'01 Deal Setup'!B25*'01 Deal Setup'!B39+'01 Deal Setup'!B26</x:f>
        <x:v>20000000</x:v>
      </x:c>
      <x:c r="C111" s="6" t="str">
        <x:v>equiv tokens</x:v>
      </x:c>
      <x:c r="D111" s="6"/>
      <x:c r="E111" s="6"/>
      <x:c r="F111" s="6"/>
      <x:c r="G111" s="6"/>
      <x:c r="H111" s="6"/>
      <x:c r="I111" s="6"/>
      <x:c r="J111" s="6"/>
      <x:c r="K111" s="6"/>
      <x:c r="L111" s="6"/>
    </x:row>
    <x:row r="112" ht="20" customHeight="1">
      <x:c r="A112" s="6" t="str">
        <x:v>Variable serving demand GPU-hours</x:v>
      </x:c>
      <x:c r="B112" s="104" t="n">
        <x:f>IF(OR('01 Deal Setup'!B98&lt;=0,B6&lt;=0),0,B111/('01 Deal Setup'!B98*B6))</x:f>
        <x:v>200</x:v>
      </x:c>
      <x:c r="C112" s="6" t="str">
        <x:v>GPU-hours</x:v>
      </x:c>
      <x:c r="D112" s="6"/>
      <x:c r="E112" s="6"/>
      <x:c r="F112" s="6"/>
      <x:c r="G112" s="6"/>
      <x:c r="H112" s="6"/>
      <x:c r="I112" s="6"/>
      <x:c r="J112" s="6"/>
      <x:c r="K112" s="6"/>
      <x:c r="L112" s="6"/>
    </x:row>
    <x:row r="113" ht="20" customHeight="1">
      <x:c r="A113" s="6" t="str">
        <x:v>Warm capacity floor GPU-hours</x:v>
      </x:c>
      <x:c r="B113" s="104" t="n">
        <x:f>'01 Deal Setup'!B28*720*IF('01 Deal Setup'!B24="Shared",'01 Deal Setup'!B99,1)</x:f>
        <x:v>1440</x:v>
      </x:c>
      <x:c r="C113" s="6" t="str">
        <x:v>GPU-hours</x:v>
      </x:c>
      <x:c r="D113" s="6"/>
      <x:c r="E113" s="6"/>
      <x:c r="F113" s="6"/>
      <x:c r="G113" s="6"/>
      <x:c r="H113" s="6"/>
      <x:c r="I113" s="6"/>
      <x:c r="J113" s="6"/>
      <x:c r="K113" s="6"/>
      <x:c r="L113" s="6"/>
    </x:row>
    <x:row r="114" ht="20" customHeight="1">
      <x:c r="A114" s="6" t="str">
        <x:v>Provisioned / allocated serving GPU-hours</x:v>
      </x:c>
      <x:c r="B114" s="104" t="n">
        <x:f>MAX(B112,B113)</x:f>
        <x:v>1440</x:v>
      </x:c>
      <x:c r="C114" s="6" t="str">
        <x:v>GPU-hours</x:v>
      </x:c>
      <x:c r="D114" s="6"/>
      <x:c r="E114" s="6"/>
      <x:c r="F114" s="6"/>
      <x:c r="G114" s="6"/>
      <x:c r="H114" s="6"/>
      <x:c r="I114" s="6"/>
      <x:c r="J114" s="6"/>
      <x:c r="K114" s="6"/>
      <x:c r="L114" s="6"/>
    </x:row>
    <x:row r="115" ht="20" customHeight="1">
      <x:c r="A115" s="6" t="str">
        <x:v>Serving GPU vendor COGS</x:v>
      </x:c>
      <x:c r="B115" s="124" t="n">
        <x:f>IF(B62="BYOC",0,B114*'01 Deal Setup'!B82)</x:f>
        <x:v>5745.6</x:v>
      </x:c>
      <x:c r="C115" s="6" t="str">
        <x:v>$</x:v>
      </x:c>
      <x:c r="D115" s="6"/>
      <x:c r="E115" s="6"/>
      <x:c r="F115" s="6"/>
      <x:c r="G115" s="6"/>
      <x:c r="H115" s="6"/>
      <x:c r="I115" s="6"/>
      <x:c r="J115" s="6"/>
      <x:c r="K115" s="6"/>
      <x:c r="L115" s="6"/>
    </x:row>
    <x:row r="116" ht="20" customHeight="1">
      <x:c r="A116" s="6" t="str">
        <x:v>Expected monthly serving COGS</x:v>
      </x:c>
      <x:c r="B116" s="124" t="n">
        <x:f>B115+'01 Deal Setup'!B97</x:f>
        <x:v>8245.6</x:v>
      </x:c>
      <x:c r="C116" s="6" t="str">
        <x:v>$</x:v>
      </x:c>
      <x:c r="D116" s="6"/>
      <x:c r="E116" s="6"/>
      <x:c r="F116" s="6"/>
      <x:c r="G116" s="6"/>
      <x:c r="H116" s="6"/>
      <x:c r="I116" s="6"/>
      <x:c r="J116" s="6"/>
      <x:c r="K116" s="6"/>
      <x:c r="L116" s="6"/>
    </x:row>
    <x:row r="117" ht="20" customHeight="1">
      <x:c r="A117" s="130" t="str">
        <x:v>Suggested monthly serving invoice</x:v>
      </x:c>
      <x:c r="B117" s="140" t="n">
        <x:f>IF('01 Deal Setup'!B23="No",0,IF('01 Deal Setup'!B24="Shared",MAX('01 Deal Setup'!B91,MAX(0,'01 Deal Setup'!B25-'01 Deal Setup'!B95)/1000000*'01 Deal Setup'!B93+MAX(0,'01 Deal Setup'!B26-'01 Deal Setup'!B96)/1000000*'01 Deal Setup'!B94),MAX('01 Deal Setup'!B91,'01 Deal Setup'!B28*'01 Deal Setup'!B92)+MAX(0,'01 Deal Setup'!B25-'01 Deal Setup'!B95)/1000000*'01 Deal Setup'!B93+MAX(0,'01 Deal Setup'!B26-'01 Deal Setup'!B96)/1000000*'01 Deal Setup'!B94))</x:f>
        <x:v>0</x:v>
      </x:c>
      <x:c r="C117" s="130" t="str">
        <x:v>$</x:v>
      </x:c>
      <x:c r="D117" s="6"/>
      <x:c r="E117" s="6"/>
      <x:c r="F117" s="6"/>
      <x:c r="G117" s="6"/>
      <x:c r="H117" s="6"/>
      <x:c r="I117" s="6"/>
      <x:c r="J117" s="6"/>
      <x:c r="K117" s="6"/>
      <x:c r="L117" s="6"/>
    </x:row>
    <x:row r="118" ht="20" customHeight="1">
      <x:c r="A118" s="6" t="str">
        <x:v>Pre-adjustment serving gross margin</x:v>
      </x:c>
      <x:c r="B118" s="126" t="n">
        <x:f>IF(B117=0,0,1-B116/B117)</x:f>
        <x:v>0</x:v>
      </x:c>
      <x:c r="C118" s="6" t="str">
        <x:v>%</x:v>
      </x:c>
      <x:c r="D118" s="6"/>
      <x:c r="E118" s="6"/>
      <x:c r="F118" s="6"/>
      <x:c r="G118" s="6"/>
      <x:c r="H118" s="6"/>
      <x:c r="I118" s="6"/>
      <x:c r="J118" s="6"/>
      <x:c r="K118" s="6"/>
      <x:c r="L118" s="6"/>
    </x:row>
    <x:row r="119" ht="20" customHeight="1">
      <x:c r="A119" s="6" t="str">
        <x:v>Serving size / SLO validation</x:v>
      </x:c>
      <x:c r="B119" s="40" t="str">
        <x:f>IF('01 Deal Setup'!B23="No","NOT SCOPED",IF('01 Deal Setup'!G26&lt;&gt;"Listed","HOLD - SERVING ACCESS",IF('01 Deal Setup'!B101&lt;&gt;"Yes","HOLD - SERVING BENCHMARK",IF('01 Deal Setup'!B27&gt;3,"BENCHMARK PEAK FIRST","BENCHMARK / SLO SIGNOFF"))))</x:f>
        <x:v>NOT SCOPED</x:v>
      </x:c>
      <x:c r="C119" s="6"/>
      <x:c r="D119" s="6"/>
      <x:c r="E119" s="6"/>
      <x:c r="F119" s="6"/>
      <x:c r="G119" s="6"/>
      <x:c r="H119" s="6"/>
      <x:c r="I119" s="6"/>
      <x:c r="J119" s="6"/>
      <x:c r="K119" s="6"/>
      <x:c r="L119" s="6"/>
    </x:row>
    <x:row r="120" ht="20" customHeight="1">
      <x:c r="A120" s="6" t="str">
        <x:v>Peak vs current warm capacity</x:v>
      </x:c>
      <x:c r="B120" s="126" t="n">
        <x:f>IF(B113=0,0,B112*'01 Deal Setup'!B27/B113)</x:f>
        <x:v>0.4166666666666667</x:v>
      </x:c>
      <x:c r="C120" s="6" t="str">
        <x:v>x</x:v>
      </x:c>
      <x:c r="D120" s="6"/>
      <x:c r="E120" s="6"/>
      <x:c r="F120" s="6"/>
      <x:c r="G120" s="6"/>
      <x:c r="H120" s="6"/>
      <x:c r="I120" s="6"/>
      <x:c r="J120" s="6"/>
      <x:c r="K120" s="6"/>
      <x:c r="L120" s="6"/>
    </x:row>
    <x:row r="121" ht="20" customHeight="1">
      <x:c r="A121" s="6" t="str">
        <x:v>Scaling / re-paper recommendation</x:v>
      </x:c>
      <x:c r="B121" s="40" t="str">
        <x:f>IF('01 Deal Setup'!B23="No","NOT SCOPED",IF(B120&gt;=1,"AMEND CAPACITY / REPLICAS",IF(B120&gt;=0.8,"START SCALE REVIEW","WITHIN PLANNING ENVELOPE")))</x:f>
        <x:v>NOT SCOPED</x:v>
      </x:c>
      <x:c r="C121" s="6"/>
      <x:c r="D121" s="6"/>
      <x:c r="E121" s="6"/>
      <x:c r="F121" s="6"/>
      <x:c r="G121" s="6"/>
      <x:c r="H121" s="6"/>
      <x:c r="I121" s="6"/>
      <x:c r="J121" s="6"/>
      <x:c r="K121" s="6"/>
      <x:c r="L121" s="6"/>
    </x:row>
    <x:row r="122" ht="20" customHeight="1">
      <x:c r="A122" s="6" t="str">
        <x:v>Target-margin serving floor</x:v>
      </x:c>
      <x:c r="B122" s="124" t="n">
        <x:f>IF('01 Deal Setup'!B23="No",0,B116/MAX(0.01,1-'01 Deal Setup'!B76))</x:f>
        <x:v>0</x:v>
      </x:c>
      <x:c r="C122" s="6" t="str">
        <x:v>$</x:v>
      </x:c>
      <x:c r="D122" s="6"/>
      <x:c r="E122" s="6"/>
      <x:c r="F122" s="6"/>
      <x:c r="G122" s="6"/>
      <x:c r="H122" s="6"/>
      <x:c r="I122" s="6"/>
      <x:c r="J122" s="6"/>
      <x:c r="K122" s="6"/>
      <x:c r="L122" s="6"/>
    </x:row>
    <x:row r="123" ht="20" customHeight="1">
      <x:c r="A123" s="6" t="str">
        <x:v>Visible production uplift</x:v>
      </x:c>
      <x:c r="B123" s="124" t="n">
        <x:f>MAX(0,B122-B117)</x:f>
        <x:v>0</x:v>
      </x:c>
      <x:c r="C123" s="6" t="str">
        <x:v>$</x:v>
      </x:c>
      <x:c r="D123" s="6"/>
      <x:c r="E123" s="6"/>
      <x:c r="F123" s="6"/>
      <x:c r="G123" s="6"/>
      <x:c r="H123" s="6"/>
      <x:c r="I123" s="6"/>
      <x:c r="J123" s="6"/>
      <x:c r="K123" s="6"/>
      <x:c r="L123" s="6"/>
    </x:row>
    <x:row r="124" ht="20" customHeight="1">
      <x:c r="A124" s="6" t="str">
        <x:v>SUGGESTED MONTHLY SERVING PRICE</x:v>
      </x:c>
      <x:c r="B124" s="124" t="n">
        <x:f>B117+B123</x:f>
        <x:v>0</x:v>
      </x:c>
      <x:c r="C124" s="6" t="str">
        <x:v>$</x:v>
      </x:c>
      <x:c r="D124" s="6"/>
      <x:c r="E124" s="6"/>
      <x:c r="F124" s="6"/>
      <x:c r="G124" s="6"/>
      <x:c r="H124" s="6"/>
      <x:c r="I124" s="6"/>
      <x:c r="J124" s="6"/>
      <x:c r="K124" s="6"/>
      <x:c r="L124" s="6"/>
    </x:row>
    <x:row r="125" ht="20" customHeight="1">
      <x:c r="A125" s="6" t="str">
        <x:v>Expected production gross margin</x:v>
      </x:c>
      <x:c r="B125" s="126" t="n">
        <x:f>IF(B124=0,0,1-B116/B124)</x:f>
        <x:v>0</x:v>
      </x:c>
      <x:c r="C125" s="6" t="str">
        <x:v>%</x:v>
      </x:c>
      <x:c r="D125" s="6"/>
      <x:c r="E125" s="6"/>
      <x:c r="F125" s="6"/>
      <x:c r="G125" s="6"/>
      <x:c r="H125" s="6"/>
      <x:c r="I125" s="6"/>
      <x:c r="J125" s="6"/>
      <x:c r="K125" s="6"/>
      <x:c r="L125" s="6"/>
    </x:row>
    <x:row r="126" ht="20" customHeight="1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</x:row>
    <x:row r="127" ht="20" customHeight="1">
      <x:c r="A127" s="6"/>
      <x:c r="B127" s="6"/>
      <x:c r="C127" s="6"/>
      <x:c r="D127" s="6"/>
      <x:c r="E127" s="6"/>
      <x:c r="F127" s="6"/>
      <x:c r="G127" s="6"/>
      <x:c r="H127" s="6"/>
      <x:c r="I127" s="6"/>
      <x:c r="J127" s="6"/>
      <x:c r="K127" s="6"/>
      <x:c r="L127" s="6"/>
    </x:row>
    <x:row r="128" ht="20" customHeight="1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</x:row>
    <x:row r="129" ht="20" customHeight="1">
      <x:c r="A129" s="6"/>
      <x:c r="B129" s="6"/>
      <x:c r="C129" s="6"/>
      <x:c r="D129" s="6"/>
      <x:c r="E129" s="6"/>
      <x:c r="F129" s="6"/>
      <x:c r="G129" s="6"/>
      <x:c r="H129" s="6"/>
      <x:c r="I129" s="6"/>
      <x:c r="J129" s="6"/>
      <x:c r="K129" s="6"/>
      <x:c r="L129" s="6"/>
    </x:row>
    <x:row r="130" ht="20" customHeight="1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</x:row>
    <x:row r="131" ht="20" customHeight="1">
      <x:c r="A131" s="6"/>
      <x:c r="B131" s="6"/>
      <x:c r="C131" s="6"/>
      <x:c r="D131" s="6"/>
      <x:c r="E131" s="6"/>
      <x:c r="F131" s="6"/>
      <x:c r="G131" s="6"/>
      <x:c r="H131" s="6"/>
      <x:c r="I131" s="6"/>
      <x:c r="J131" s="6"/>
      <x:c r="K131" s="6"/>
      <x:c r="L131" s="6"/>
    </x:row>
    <x:row r="132" ht="20" customHeight="1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</x:row>
    <x:row r="133" ht="20" customHeight="1">
      <x:c r="A133" s="6"/>
      <x:c r="B133" s="6"/>
      <x:c r="C133" s="6"/>
      <x:c r="D133" s="6"/>
      <x:c r="E133" s="6"/>
      <x:c r="F133" s="6"/>
      <x:c r="G133" s="6"/>
      <x:c r="H133" s="6"/>
      <x:c r="I133" s="6"/>
      <x:c r="J133" s="6"/>
      <x:c r="K133" s="6"/>
      <x:c r="L133" s="6"/>
    </x:row>
    <x:row r="134" ht="20" customHeight="1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</x:row>
    <x:row r="135" ht="20" customHeight="1">
      <x:c r="A135" s="6"/>
      <x:c r="B135" s="6"/>
      <x:c r="C135" s="6"/>
      <x:c r="D135" s="6"/>
      <x:c r="E135" s="6"/>
      <x:c r="F135" s="6"/>
      <x:c r="G135" s="6"/>
      <x:c r="H135" s="6"/>
      <x:c r="I135" s="6"/>
      <x:c r="J135" s="6"/>
      <x:c r="K135" s="6"/>
      <x:c r="L135" s="6"/>
    </x:row>
    <x:row r="136" ht="20" customHeight="1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</x:row>
    <x:row r="137" ht="20" customHeight="1">
      <x:c r="A137" s="6"/>
      <x:c r="B137" s="6"/>
      <x:c r="C137" s="6"/>
      <x:c r="D137" s="6"/>
      <x:c r="E137" s="6"/>
      <x:c r="F137" s="6"/>
      <x:c r="G137" s="6"/>
      <x:c r="H137" s="6"/>
      <x:c r="I137" s="6"/>
      <x:c r="J137" s="6"/>
      <x:c r="K137" s="6"/>
      <x:c r="L137" s="6"/>
    </x:row>
    <x:row r="138" ht="20" customHeight="1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</x:row>
    <x:row r="139" ht="20" customHeight="1">
      <x:c r="A139" s="6"/>
      <x:c r="B139" s="6"/>
      <x:c r="C139" s="6"/>
      <x:c r="D139" s="6"/>
      <x:c r="E139" s="6"/>
      <x:c r="F139" s="6"/>
      <x:c r="G139" s="6"/>
      <x:c r="H139" s="6"/>
      <x:c r="I139" s="6"/>
      <x:c r="J139" s="6"/>
      <x:c r="K139" s="6"/>
      <x:c r="L139" s="6"/>
    </x:row>
    <x:row r="140" ht="20" customHeight="1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</x:row>
    <x:row r="141" ht="20" customHeight="1">
      <x:c r="A141" s="6"/>
      <x:c r="B141" s="6"/>
      <x:c r="C141" s="6"/>
      <x:c r="D141" s="6"/>
      <x:c r="E141" s="6"/>
      <x:c r="F141" s="6"/>
      <x:c r="G141" s="6"/>
      <x:c r="H141" s="6"/>
      <x:c r="I141" s="6"/>
      <x:c r="J141" s="6"/>
      <x:c r="K141" s="6"/>
      <x:c r="L141" s="6"/>
    </x:row>
    <x:row r="142" ht="20" customHeight="1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</x:row>
    <x:row r="143" ht="20" customHeight="1">
      <x:c r="A143" s="6"/>
      <x:c r="B143" s="6"/>
      <x:c r="C143" s="6"/>
      <x:c r="D143" s="6"/>
      <x:c r="E143" s="6"/>
      <x:c r="F143" s="6"/>
      <x:c r="G143" s="6"/>
      <x:c r="H143" s="6"/>
      <x:c r="I143" s="6"/>
      <x:c r="J143" s="6"/>
      <x:c r="K143" s="6"/>
      <x:c r="L143" s="6"/>
    </x:row>
    <x:row r="144" ht="20" customHeight="1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</x:row>
    <x:row r="145" ht="20" customHeight="1">
      <x:c r="A145" s="6"/>
      <x:c r="B145" s="6"/>
      <x:c r="C145" s="6"/>
      <x:c r="D145" s="6"/>
      <x:c r="E145" s="6"/>
      <x:c r="F145" s="6"/>
      <x:c r="G145" s="6"/>
      <x:c r="H145" s="6"/>
      <x:c r="I145" s="6"/>
      <x:c r="J145" s="6"/>
      <x:c r="K145" s="6"/>
      <x:c r="L145" s="6"/>
    </x:row>
    <x:row r="146" ht="20" customHeight="1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</x:row>
    <x:row r="147" ht="20" customHeight="1">
      <x:c r="A147" s="6"/>
      <x:c r="B147" s="6"/>
      <x:c r="C147" s="6"/>
      <x:c r="D147" s="6"/>
      <x:c r="E147" s="6"/>
      <x:c r="F147" s="6"/>
      <x:c r="G147" s="6"/>
      <x:c r="H147" s="6"/>
      <x:c r="I147" s="6"/>
      <x:c r="J147" s="6"/>
      <x:c r="K147" s="6"/>
      <x:c r="L147" s="6"/>
    </x:row>
    <x:row r="148" ht="20" customHeight="1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</x:row>
    <x:row r="149" ht="20" customHeight="1">
      <x:c r="A149" s="6"/>
      <x:c r="B149" s="6"/>
      <x:c r="C149" s="6"/>
      <x:c r="D149" s="6"/>
      <x:c r="E149" s="6"/>
      <x:c r="F149" s="6"/>
      <x:c r="G149" s="6"/>
      <x:c r="H149" s="6"/>
      <x:c r="I149" s="6"/>
      <x:c r="J149" s="6"/>
      <x:c r="K149" s="6"/>
      <x:c r="L149" s="6"/>
    </x:row>
    <x:row r="150" ht="20" customHeight="1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</x:row>
    <x:row r="151" ht="20" customHeight="1">
      <x:c r="A151" s="6"/>
      <x:c r="B151" s="6"/>
      <x:c r="C151" s="6"/>
      <x:c r="D151" s="6"/>
      <x:c r="E151" s="6"/>
      <x:c r="F151" s="6"/>
      <x:c r="G151" s="6"/>
      <x:c r="H151" s="6"/>
      <x:c r="I151" s="6"/>
      <x:c r="J151" s="6"/>
      <x:c r="K151" s="6"/>
      <x:c r="L151" s="6"/>
    </x:row>
    <x:row r="152" ht="20" customHeight="1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</x:row>
    <x:row r="153" ht="20" customHeight="1">
      <x:c r="A153" s="6"/>
      <x:c r="B153" s="6"/>
      <x:c r="C153" s="6"/>
      <x:c r="D153" s="6"/>
      <x:c r="E153" s="6"/>
      <x:c r="F153" s="6"/>
      <x:c r="G153" s="6"/>
      <x:c r="H153" s="6"/>
      <x:c r="I153" s="6"/>
      <x:c r="J153" s="6"/>
      <x:c r="K153" s="6"/>
      <x:c r="L153" s="6"/>
    </x:row>
    <x:row r="154" ht="20" customHeight="1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</x:row>
    <x:row r="155" ht="20" customHeight="1">
      <x:c r="A155" s="6"/>
      <x:c r="B155" s="6"/>
      <x:c r="C155" s="6"/>
      <x:c r="D155" s="6"/>
      <x:c r="E155" s="6"/>
      <x:c r="F155" s="6"/>
      <x:c r="G155" s="6"/>
      <x:c r="H155" s="6"/>
      <x:c r="I155" s="6"/>
      <x:c r="J155" s="6"/>
      <x:c r="K155" s="6"/>
      <x:c r="L155" s="6"/>
    </x:row>
    <x:row r="156" ht="20" customHeight="1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</x:row>
    <x:row r="157" ht="20" customHeight="1">
      <x:c r="A157" s="6"/>
      <x:c r="B157" s="6"/>
      <x:c r="C157" s="6"/>
      <x:c r="D157" s="6"/>
      <x:c r="E157" s="6"/>
      <x:c r="F157" s="6"/>
      <x:c r="G157" s="6"/>
      <x:c r="H157" s="6"/>
      <x:c r="I157" s="6"/>
      <x:c r="J157" s="6"/>
      <x:c r="K157" s="6"/>
      <x:c r="L157" s="6"/>
    </x:row>
    <x:row r="158" ht="20" customHeight="1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</x:row>
    <x:row r="159" ht="20" customHeight="1">
      <x:c r="A159" s="6"/>
      <x:c r="B159" s="6"/>
      <x:c r="C159" s="6"/>
      <x:c r="D159" s="6"/>
      <x:c r="E159" s="6"/>
      <x:c r="F159" s="6"/>
      <x:c r="G159" s="6"/>
      <x:c r="H159" s="6"/>
      <x:c r="I159" s="6"/>
      <x:c r="J159" s="6"/>
      <x:c r="K159" s="6"/>
      <x:c r="L159" s="6"/>
    </x:row>
    <x:row r="160" ht="20" customHeight="1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</x:row>
  </x:sheetData>
  <x:mergeCells>
    <x:mergeCell ref="A1:L1"/>
    <x:mergeCell ref="A2:L2"/>
    <x:mergeCell ref="A4:D4"/>
    <x:mergeCell ref="A12:D12"/>
    <x:mergeCell ref="A30:D30"/>
    <x:mergeCell ref="A49:D49"/>
    <x:mergeCell ref="A72:D72"/>
    <x:mergeCell ref="A89:D89"/>
    <x:mergeCell ref="A109:D109"/>
    <x:mergeCell ref="F4:L4"/>
    <x:mergeCell ref="F14:L1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1" hidden="0" customWidth="1"/>
    <x:col min="2" max="2" width="42" hidden="0" customWidth="1"/>
    <x:col min="3" max="3" width="43" hidden="0" customWidth="1"/>
    <x:col min="4" max="4" width="50" hidden="0" customWidth="1"/>
    <x:col min="5" max="5" width="3" hidden="0" customWidth="1"/>
    <x:col min="6" max="6" width="23" hidden="0" customWidth="1"/>
    <x:col min="7" max="7" width="19" hidden="0" customWidth="1"/>
    <x:col min="8" max="8" width="18" hidden="0" customWidth="1"/>
    <x:col min="9" max="9" width="23" hidden="0" customWidth="1"/>
    <x:col min="10" max="10" width="19" hidden="0" customWidth="1"/>
    <x:col min="11" max="11" width="19" hidden="0" customWidth="1"/>
    <x:col min="12" max="12" width="18" hidden="0" customWidth="1"/>
  </x:cols>
  <x:sheetData>
    <x:row r="1" ht="30" customHeight="1">
      <x:c r="A1" s="181" t="str">
        <x:v>CUSTOMER OFFER + STATEMENT OF WORK</x:v>
      </x:c>
      <x:c r="B1" s="181"/>
      <x:c r="C1" s="181"/>
      <x:c r="D1" s="181"/>
      <x:c r="E1" s="181"/>
      <x:c r="F1" s="181"/>
      <x:c r="G1" s="10"/>
      <x:c r="H1" s="10"/>
      <x:c r="I1" s="10"/>
      <x:c r="J1" s="10"/>
      <x:c r="K1" s="10"/>
      <x:c r="L1" s="10"/>
    </x:row>
    <x:row r="2" ht="27" customHeight="1">
      <x:c r="A2" s="183" t="str">
        <x:f>"Customer: "&amp;'01 Deal Setup'!B5&amp;"   |   Workflow: "&amp;'01 Deal Setup'!B6</x:f>
        <x:v>Customer: Example Enterprise   |   Workflow: Internal workflow automation</x:v>
      </x:c>
      <x:c r="B2" s="183"/>
      <x:c r="C2" s="183"/>
      <x:c r="D2" s="183"/>
      <x:c r="E2" s="183"/>
      <x:c r="F2" s="183"/>
      <x:c r="G2" s="16"/>
      <x:c r="H2" s="16"/>
      <x:c r="I2" s="16"/>
      <x:c r="J2" s="16"/>
      <x:c r="K2" s="16"/>
      <x:c r="L2" s="16"/>
    </x:row>
    <x:row r="3" ht="23" customHeight="1">
      <x:c r="A3" s="184" t="str">
        <x:f>IF('02 Economics Capacity'!B104="READY FOR REVIEW","DRAFT - commercial/legal review still required","PRELIMINARY - DO NOT SEND CUSTOMER: "&amp;'02 Economics Capacity'!B104)</x:f>
        <x:v>PRELIMINARY - DO NOT SEND CUSTOMER: HOLD - MODEL</x:v>
      </x:c>
      <x:c r="B3" s="184"/>
      <x:c r="C3" s="184"/>
      <x:c r="D3" s="184"/>
      <x:c r="E3" s="184"/>
      <x:c r="F3" s="184"/>
      <x:c r="G3" s="6"/>
      <x:c r="H3" s="6"/>
      <x:c r="I3" s="6"/>
      <x:c r="J3" s="6"/>
      <x:c r="K3" s="6"/>
      <x:c r="L3" s="6"/>
    </x:row>
    <x:row r="4" ht="24" customHeight="1">
      <x:c r="A4" s="21" t="str">
        <x:v>A   COMMERCIAL ORDER: WHAT THE CUSTOMER PAYS</x:v>
      </x:c>
      <x:c r="B4" s="21"/>
      <x:c r="C4" s="21"/>
      <x:c r="D4" s="21"/>
      <x:c r="E4" s="6"/>
      <x:c r="F4" s="177" t="str"/>
      <x:c r="G4" s="177"/>
      <x:c r="H4" s="177"/>
      <x:c r="I4" s="177"/>
      <x:c r="J4" s="177"/>
      <x:c r="K4" s="177"/>
      <x:c r="L4" s="177"/>
    </x:row>
    <x:row r="5" ht="28" customHeight="1">
      <x:c r="A5" s="69" t="str">
        <x:v>Paid service</x:v>
      </x:c>
      <x:c r="B5" s="69" t="str">
        <x:v>Quantity / unit</x:v>
      </x:c>
      <x:c r="C5" s="69" t="str">
        <x:v>Price ($)</x:v>
      </x:c>
      <x:c r="D5" s="69" t="str">
        <x:v>Customer receives</x:v>
      </x:c>
      <x:c r="E5" s="6"/>
      <x:c r="F5" s="177"/>
      <x:c r="G5" s="177"/>
      <x:c r="H5" s="177"/>
      <x:c r="I5" s="177"/>
      <x:c r="J5" s="177"/>
      <x:c r="K5" s="177"/>
      <x:c r="L5" s="177"/>
    </x:row>
    <x:row r="6" ht="20" customHeight="1">
      <x:c r="A6" s="6" t="str">
        <x:v>Readiness and baseline</x:v>
      </x:c>
      <x:c r="B6" s="6" t="str">
        <x:v>Once</x:v>
      </x:c>
      <x:c r="C6" s="76" t="n">
        <x:f>'02 Economics Capacity'!B91</x:f>
        <x:v>30000</x:v>
      </x:c>
      <x:c r="D6" s="24" t="str">
        <x:v>Workflow definition, model/eval plan, baseline score and feasibility gate</x:v>
      </x:c>
      <x:c r="E6" s="6"/>
      <x:c r="F6" s="177"/>
      <x:c r="G6" s="177"/>
      <x:c r="H6" s="177"/>
      <x:c r="I6" s="177"/>
      <x:c r="J6" s="177"/>
      <x:c r="K6" s="177"/>
      <x:c r="L6" s="177"/>
    </x:row>
    <x:row r="7" ht="20" customHeight="1">
      <x:c r="A7" s="6" t="str">
        <x:v>Engineering + integration</x:v>
      </x:c>
      <x:c r="B7" s="6" t="str">
        <x:v>Fixed engagement</x:v>
      </x:c>
      <x:c r="C7" s="76" t="n">
        <x:f>'02 Economics Capacity'!B92</x:f>
        <x:v>78000</x:v>
      </x:c>
      <x:c r="D7" s="24" t="str">
        <x:v>Harness integration, grader implementation, research and infra support</x:v>
      </x:c>
      <x:c r="E7" s="6"/>
      <x:c r="F7" s="6"/>
      <x:c r="G7" s="6"/>
      <x:c r="H7" s="6"/>
      <x:c r="I7" s="6"/>
      <x:c r="J7" s="6"/>
      <x:c r="K7" s="6"/>
      <x:c r="L7" s="6"/>
    </x:row>
    <x:row r="8" ht="20" customHeight="1">
      <x:c r="A8" s="6" t="str">
        <x:v>Approved RL cycles</x:v>
      </x:c>
      <x:c r="B8" s="6" t="str">
        <x:v>Cycles x proposed model rate</x:v>
      </x:c>
      <x:c r="C8" s="76" t="n">
        <x:f>'02 Economics Capacity'!B93</x:f>
        <x:v>72000</x:v>
      </x:c>
      <x:c r="D8" s="24" t="str">
        <x:v>Scheduled train / rollout / measure / review cycles</x:v>
      </x:c>
      <x:c r="E8" s="6"/>
      <x:c r="F8" s="6"/>
      <x:c r="G8" s="6"/>
      <x:c r="H8" s="6"/>
      <x:c r="I8" s="6"/>
      <x:c r="J8" s="6"/>
      <x:c r="K8" s="6"/>
      <x:c r="L8" s="6"/>
    </x:row>
    <x:row r="9" ht="20" customHeight="1">
      <x:c r="A9" s="6" t="str">
        <x:v>Extra-cycle engineering</x:v>
      </x:c>
      <x:c r="B9" s="6" t="str">
        <x:v>Additional cycles only</x:v>
      </x:c>
      <x:c r="C9" s="76" t="n">
        <x:f>'02 Economics Capacity'!B94</x:f>
        <x:v>0</x:v>
      </x:c>
      <x:c r="D9" s="24" t="str">
        <x:v>Incremental assigned engineers above included loop count</x:v>
      </x:c>
      <x:c r="E9" s="6"/>
      <x:c r="F9" s="6"/>
      <x:c r="G9" s="6"/>
      <x:c r="H9" s="6"/>
      <x:c r="I9" s="6"/>
      <x:c r="J9" s="6"/>
      <x:c r="K9" s="6"/>
      <x:c r="L9" s="6"/>
    </x:row>
    <x:row r="10" ht="20" customHeight="1">
      <x:c r="A10" s="6" t="str">
        <x:v>Final independent verification</x:v>
      </x:c>
      <x:c r="B10" s="6" t="str">
        <x:v>Once</x:v>
      </x:c>
      <x:c r="C10" s="76" t="n">
        <x:f>'02 Economics Capacity'!B95</x:f>
        <x:v>30000</x:v>
      </x:c>
      <x:c r="D10" s="24" t="str">
        <x:v>Holdout evaluation, checkpoint, report and handoff</x:v>
      </x:c>
      <x:c r="E10" s="6"/>
      <x:c r="F10" s="6"/>
      <x:c r="G10" s="6"/>
      <x:c r="H10" s="6"/>
      <x:c r="I10" s="6"/>
      <x:c r="J10" s="6"/>
      <x:c r="K10" s="6"/>
      <x:c r="L10" s="6"/>
    </x:row>
    <x:row r="11" ht="20" customHeight="1">
      <x:c r="A11" s="6" t="str">
        <x:v>Discount</x:v>
      </x:c>
      <x:c r="B11" s="6" t="str">
        <x:v>Once</x:v>
      </x:c>
      <x:c r="C11" s="76" t="n">
        <x:f>'02 Economics Capacity'!B96</x:f>
        <x:v>0</x:v>
      </x:c>
      <x:c r="D11" s="24" t="str">
        <x:v>Explicit negotiated discount</x:v>
      </x:c>
      <x:c r="E11" s="6"/>
      <x:c r="F11" s="6"/>
      <x:c r="G11" s="6"/>
      <x:c r="H11" s="6"/>
      <x:c r="I11" s="6"/>
      <x:c r="J11" s="6"/>
      <x:c r="K11" s="6"/>
      <x:c r="L11" s="6"/>
    </x:row>
    <x:row r="12" ht="20" customHeight="1">
      <x:c r="A12" s="6" t="str">
        <x:v>Proposed price adjustment*</x:v>
      </x:c>
      <x:c r="B12" s="6" t="str">
        <x:v>If needed</x:v>
      </x:c>
      <x:c r="C12" s="76" t="n">
        <x:f>'02 Economics Capacity'!B99</x:f>
        <x:v>0</x:v>
      </x:c>
      <x:c r="D12" s="24" t="str">
        <x:v>*Requires explicit customer agreement; not an automatic surcharge.</x:v>
      </x:c>
      <x:c r="E12" s="6"/>
      <x:c r="F12" s="6"/>
      <x:c r="G12" s="6"/>
      <x:c r="H12" s="6"/>
      <x:c r="I12" s="6"/>
      <x:c r="J12" s="6"/>
      <x:c r="K12" s="6"/>
      <x:c r="L12" s="6"/>
    </x:row>
    <x:row r="13" ht="20" customHeight="1">
      <x:c r="A13" s="20" t="str">
        <x:v>TOTAL PROPOSED TRAINING FEE</x:v>
      </x:c>
      <x:c r="B13" s="20"/>
      <x:c r="C13" s="169" t="n">
        <x:f>'02 Economics Capacity'!B100</x:f>
        <x:v>210000</x:v>
      </x:c>
      <x:c r="D13" s="20"/>
      <x:c r="E13" s="6"/>
      <x:c r="F13" s="6"/>
      <x:c r="G13" s="6"/>
      <x:c r="H13" s="6"/>
      <x:c r="I13" s="6"/>
      <x:c r="J13" s="6"/>
      <x:c r="K13" s="6"/>
      <x:c r="L13" s="6"/>
    </x:row>
    <x:row r="14" ht="20" customHeight="1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</x:row>
    <x:row r="15" ht="20" customHeight="1">
      <x:c r="A15" s="6" t="str">
        <x:v>Selected model</x:v>
      </x:c>
      <x:c r="B15" s="6" t="str">
        <x:f>'01 Deal Setup'!B7</x:f>
        <x:v>Qwen3.6-35B-A3B</x:v>
      </x:c>
      <x:c r="C15" s="6"/>
      <x:c r="D15" s="6" t="str">
        <x:f>"Total params: "&amp;IF(ISNUMBER('01 Deal Setup'!B8),TEXT('01 Deal Setup'!B8,"#,##0.0")&amp;"B","unverified")&amp;"; "&amp;'01 Deal Setup'!G24&amp;". Exact hardware requires benchmark."</x:f>
        <x:v>Total params: 35.0B; MoE. Exact hardware requires benchmark.</x:v>
      </x:c>
      <x:c r="E15" s="6"/>
      <x:c r="F15" s="6"/>
      <x:c r="G15" s="6"/>
      <x:c r="H15" s="6"/>
      <x:c r="I15" s="6"/>
      <x:c r="J15" s="6"/>
      <x:c r="K15" s="6"/>
      <x:c r="L15" s="6"/>
    </x:row>
    <x:row r="16" ht="20" customHeight="1">
      <x:c r="A16" s="6" t="str">
        <x:v>Authorized RL cycles</x:v>
      </x:c>
      <x:c r="B16" s="6" t="n">
        <x:f>'01 Deal Setup'!B10</x:f>
        <x:v>3</x:v>
      </x:c>
      <x:c r="C16" s="6"/>
      <x:c r="D16" s="6"/>
      <x:c r="E16" s="6"/>
      <x:c r="F16" s="6"/>
      <x:c r="G16" s="6"/>
      <x:c r="H16" s="6"/>
      <x:c r="I16" s="6"/>
      <x:c r="J16" s="6"/>
      <x:c r="K16" s="6"/>
      <x:c r="L16" s="6"/>
    </x:row>
    <x:row r="17" ht="20" customHeight="1">
      <x:c r="A17" s="6" t="str">
        <x:v>Cycle schedule</x:v>
      </x:c>
      <x:c r="B17" s="6" t="str">
        <x:f>"Every "&amp;'01 Deal Setup'!B11&amp;" week(s)"</x:f>
        <x:v>Every 1 week(s)</x:v>
      </x:c>
      <x:c r="C17" s="6"/>
      <x:c r="D17" s="6"/>
      <x:c r="E17" s="6"/>
      <x:c r="F17" s="6"/>
      <x:c r="G17" s="6"/>
      <x:c r="H17" s="6"/>
      <x:c r="I17" s="6"/>
      <x:c r="J17" s="6"/>
      <x:c r="K17" s="6"/>
      <x:c r="L17" s="6"/>
    </x:row>
    <x:row r="18" ht="20" customHeight="1">
      <x:c r="A18" s="6" t="str">
        <x:v>Planned duration</x:v>
      </x:c>
      <x:c r="B18" s="6" t="n">
        <x:f>'02 Economics Capacity'!B28</x:f>
        <x:v>6</x:v>
      </x:c>
      <x:c r="C18" s="6" t="str">
        <x:v>weeks</x:v>
      </x:c>
      <x:c r="D18" s="6"/>
      <x:c r="E18" s="6"/>
      <x:c r="F18" s="6"/>
      <x:c r="G18" s="6"/>
      <x:c r="H18" s="6"/>
      <x:c r="I18" s="6"/>
      <x:c r="J18" s="6"/>
      <x:c r="K18" s="6"/>
      <x:c r="L18" s="6"/>
    </x:row>
    <x:row r="19" ht="20" customHeight="1">
      <x:c r="A19" s="6" t="str">
        <x:v>Production inference</x:v>
      </x:c>
      <x:c r="B19" s="6" t="str">
        <x:f>IF('01 Deal Setup'!B23="Yes","OPTIONAL SEPARATE ORDER","NOT INCLUDED")</x:f>
        <x:v>NOT INCLUDED</x:v>
      </x:c>
      <x:c r="C19" s="6"/>
      <x:c r="D19" s="6"/>
      <x:c r="E19" s="6"/>
      <x:c r="F19" s="6"/>
      <x:c r="G19" s="6"/>
      <x:c r="H19" s="6"/>
      <x:c r="I19" s="6"/>
      <x:c r="J19" s="6"/>
      <x:c r="K19" s="6"/>
      <x:c r="L19" s="6"/>
    </x:row>
    <x:row r="20" ht="20" customHeight="1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</x:row>
    <x:row r="21" ht="24" customHeight="1">
      <x:c r="A21" s="21" t="str">
        <x:v>B   OPTIONAL SERVING COMMERCIALS (NOT IN TRAINING TOTAL)</x:v>
      </x:c>
      <x:c r="B21" s="21"/>
      <x:c r="C21" s="21"/>
      <x:c r="D21" s="21"/>
      <x:c r="E21" s="6"/>
      <x:c r="F21" s="6"/>
      <x:c r="G21" s="6"/>
      <x:c r="H21" s="6"/>
      <x:c r="I21" s="6"/>
      <x:c r="J21" s="6"/>
      <x:c r="K21" s="6"/>
      <x:c r="L21" s="6"/>
    </x:row>
    <x:row r="22" ht="20" customHeight="1">
      <x:c r="A22" s="6" t="str">
        <x:v>Service type</x:v>
      </x:c>
      <x:c r="B22" s="6" t="str">
        <x:f>'01 Deal Setup'!B24</x:f>
        <x:v>Dedicated</x:v>
      </x:c>
      <x:c r="C22" s="6"/>
      <x:c r="D22" s="6" t="str">
        <x:v>Shared usage minimum or dedicated replica commitment</x:v>
      </x:c>
      <x:c r="E22" s="6"/>
      <x:c r="F22" s="6"/>
      <x:c r="G22" s="6"/>
      <x:c r="H22" s="6"/>
      <x:c r="I22" s="6"/>
      <x:c r="J22" s="6"/>
      <x:c r="K22" s="6"/>
      <x:c r="L22" s="6"/>
    </x:row>
    <x:row r="23" ht="20" customHeight="1">
      <x:c r="A23" s="6" t="str">
        <x:v>Monthly serving proposal</x:v>
      </x:c>
      <x:c r="B23" s="76" t="n">
        <x:f>'02 Economics Capacity'!B124</x:f>
        <x:v>0</x:v>
      </x:c>
      <x:c r="C23" s="6"/>
      <x:c r="D23" s="6" t="str">
        <x:v>Zero when production option is No</x:v>
      </x:c>
      <x:c r="E23" s="6"/>
      <x:c r="F23" s="6"/>
      <x:c r="G23" s="6"/>
      <x:c r="H23" s="6"/>
      <x:c r="I23" s="6"/>
      <x:c r="J23" s="6"/>
      <x:c r="K23" s="6"/>
      <x:c r="L23" s="6"/>
    </x:row>
    <x:row r="24" ht="20" customHeight="1">
      <x:c r="A24" s="6" t="str">
        <x:v>Monthly input allowance</x:v>
      </x:c>
      <x:c r="B24" s="6" t="n">
        <x:f>'01 Deal Setup'!B95</x:f>
        <x:v>20000000</x:v>
      </x:c>
      <x:c r="C24" s="6"/>
      <x:c r="D24" s="6" t="str">
        <x:v>Excess charged per million input tokens</x:v>
      </x:c>
      <x:c r="E24" s="6"/>
      <x:c r="F24" s="6"/>
      <x:c r="G24" s="6"/>
      <x:c r="H24" s="6"/>
      <x:c r="I24" s="6"/>
      <x:c r="J24" s="6"/>
      <x:c r="K24" s="6"/>
      <x:c r="L24" s="6"/>
    </x:row>
    <x:row r="25" ht="20" customHeight="1">
      <x:c r="A25" s="6" t="str">
        <x:v>Monthly output allowance</x:v>
      </x:c>
      <x:c r="B25" s="6" t="n">
        <x:f>'01 Deal Setup'!B96</x:f>
        <x:v>10000000</x:v>
      </x:c>
      <x:c r="C25" s="6"/>
      <x:c r="D25" s="6" t="str">
        <x:v>Excess charged per million output tokens</x:v>
      </x:c>
      <x:c r="E25" s="6"/>
      <x:c r="F25" s="6"/>
      <x:c r="G25" s="6"/>
      <x:c r="H25" s="6"/>
      <x:c r="I25" s="6"/>
      <x:c r="J25" s="6"/>
      <x:c r="K25" s="6"/>
      <x:c r="L25" s="6"/>
    </x:row>
    <x:row r="26" ht="20" customHeight="1">
      <x:c r="A26" s="6" t="str">
        <x:v>Peak / replica assumption</x:v>
      </x:c>
      <x:c r="B26" s="6" t="n">
        <x:f>'01 Deal Setup'!B28</x:f>
        <x:v>2</x:v>
      </x:c>
      <x:c r="C26" s="6"/>
      <x:c r="D26" s="6" t="str">
        <x:v>Replicas and peak traffic must be benchmarked</x:v>
      </x:c>
      <x:c r="E26" s="6"/>
      <x:c r="F26" s="6"/>
      <x:c r="G26" s="6"/>
      <x:c r="H26" s="6"/>
      <x:c r="I26" s="6"/>
      <x:c r="J26" s="6"/>
      <x:c r="K26" s="6"/>
      <x:c r="L26" s="6"/>
    </x:row>
    <x:row r="27" ht="20" customHeight="1">
      <x:c r="A27" s="6" t="str">
        <x:v>Serving next step</x:v>
      </x:c>
      <x:c r="B27" s="6" t="str">
        <x:f>'02 Economics Capacity'!B121</x:f>
        <x:v>NOT SCOPED</x:v>
      </x:c>
      <x:c r="C27" s="6"/>
      <x:c r="D27" s="6" t="str">
        <x:v>Review at 80% of capacity; amendment to add GPUs/replicas</x:v>
      </x:c>
      <x:c r="E27" s="6"/>
      <x:c r="F27" s="6"/>
      <x:c r="G27" s="6"/>
      <x:c r="H27" s="6"/>
      <x:c r="I27" s="6"/>
      <x:c r="J27" s="6"/>
      <x:c r="K27" s="6"/>
      <x:c r="L27" s="6"/>
    </x:row>
    <x:row r="28" ht="20" customHeight="1">
      <x:c r="A28" s="6" t="str">
        <x:v>Serving capacity adjustment</x:v>
      </x:c>
      <x:c r="B28" s="76" t="n">
        <x:f>'02 Economics Capacity'!B123</x:f>
        <x:v>0</x:v>
      </x:c>
      <x:c r="C28" s="6"/>
      <x:c r="D28" s="6" t="str">
        <x:v>Any added committed capacity requires a separately approved order.</x:v>
      </x:c>
      <x:c r="E28" s="6"/>
      <x:c r="F28" s="6"/>
      <x:c r="G28" s="6"/>
      <x:c r="H28" s="6"/>
      <x:c r="I28" s="6"/>
      <x:c r="J28" s="6"/>
      <x:c r="K28" s="6"/>
      <x:c r="L28" s="6"/>
    </x:row>
    <x:row r="29" ht="20" customHeight="1">
      <x:c r="A29" s="6" t="str">
        <x:v>Serving performance gate</x:v>
      </x:c>
      <x:c r="B29" s="78" t="str">
        <x:f>'02 Economics Capacity'!B119</x:f>
        <x:v>NOT SCOPED</x:v>
      </x:c>
      <x:c r="C29" s="6"/>
      <x:c r="D29" s="6" t="str">
        <x:v>Load test and service levels must be approved before contracting.</x:v>
      </x:c>
      <x:c r="E29" s="6"/>
      <x:c r="F29" s="6"/>
      <x:c r="G29" s="6"/>
      <x:c r="H29" s="6"/>
      <x:c r="I29" s="6"/>
      <x:c r="J29" s="6"/>
      <x:c r="K29" s="6"/>
      <x:c r="L29" s="6"/>
    </x:row>
    <x:row r="30" ht="24" customHeight="1">
      <x:c r="A30" s="21" t="str">
        <x:v>C   SCOPE: RESPONSIBILITY, ACCEPTANCE &amp; PHASE GATES</x:v>
      </x:c>
      <x:c r="B30" s="21"/>
      <x:c r="C30" s="21"/>
      <x:c r="D30" s="21"/>
      <x:c r="E30" s="6"/>
      <x:c r="F30" s="6"/>
      <x:c r="G30" s="6"/>
      <x:c r="H30" s="6"/>
      <x:c r="I30" s="6"/>
      <x:c r="J30" s="6"/>
      <x:c r="K30" s="6"/>
      <x:c r="L30" s="6"/>
    </x:row>
    <x:row r="31" ht="27" customHeight="1">
      <x:c r="A31" s="69" t="str">
        <x:v>Phase + timing</x:v>
      </x:c>
      <x:c r="B31" s="69" t="str">
        <x:v>Applied Compute delivers</x:v>
      </x:c>
      <x:c r="C31" s="69" t="str">
        <x:v>Customer owns / approves</x:v>
      </x:c>
      <x:c r="D31" s="69" t="str">
        <x:v>Evidence to accept</x:v>
      </x:c>
      <x:c r="E31" s="6"/>
      <x:c r="F31" s="6"/>
      <x:c r="G31" s="6"/>
      <x:c r="H31" s="6"/>
      <x:c r="I31" s="6"/>
      <x:c r="J31" s="6"/>
      <x:c r="K31" s="6"/>
      <x:c r="L31" s="6"/>
    </x:row>
    <x:row r="32" ht="76" customHeight="1">
      <x:c r="A32" s="172" t="str">
        <x:v>0 · Readiness</x:v>
      </x:c>
      <x:c r="B32" s="173" t="str">
        <x:v>Scope workflow, assess data quality, compare base model options and estimate capacity.</x:v>
      </x:c>
      <x:c r="C32" s="173" t="str">
        <x:v>Provides data, SME and decides initial base model and success metric.</x:v>
      </x:c>
      <x:c r="D32" s="173" t="str">
        <x:v>Signed workflow/eval charter; dataset sample; frozen baseline score and review findings.</x:v>
      </x:c>
      <x:c r="E32" s="6"/>
      <x:c r="F32" s="6"/>
      <x:c r="G32" s="6"/>
      <x:c r="H32" s="6"/>
      <x:c r="I32" s="6"/>
      <x:c r="J32" s="6"/>
      <x:c r="K32" s="6"/>
      <x:c r="L32" s="6"/>
    </x:row>
    <x:row r="33" ht="76" customHeight="1">
      <x:c r="A33" s="158" t="str">
        <x:v>1 · Graders + harness</x:v>
      </x:c>
      <x:c r="B33" s="72" t="str">
        <x:v>Build environment, grader version, rollout instrumentation and held-out evaluation.</x:v>
      </x:c>
      <x:c r="C33" s="72" t="str">
        <x:v>Approves graders, thresholds, privacy assumptions and success/stop rules.</x:v>
      </x:c>
      <x:c r="D33" s="72" t="str">
        <x:v>Versioned grader/harness, reproducible baseline run ID, acceptance signoff.</x:v>
      </x:c>
      <x:c r="E33" s="6"/>
      <x:c r="F33" s="6"/>
      <x:c r="G33" s="6"/>
      <x:c r="H33" s="6"/>
      <x:c r="I33" s="6"/>
      <x:c r="J33" s="6"/>
      <x:c r="K33" s="6"/>
      <x:c r="L33" s="6"/>
    </x:row>
    <x:row r="34" ht="76" customHeight="1">
      <x:c r="A34" s="172" t="str">
        <x:v>2 · RL cycle (repeat)</x:v>
      </x:c>
      <x:c r="B34" s="173" t="str">
        <x:v>Train checkpoint; sample rollouts; compute cost, reward and held-out score; investigate failures.</x:v>
      </x:c>
      <x:c r="C34" s="173" t="str">
        <x:v>Reviews score and research evidence; explicitly chooses Stop or Continue.</x:v>
      </x:c>
      <x:c r="D34" s="173" t="str">
        <x:v>Checkpoint/run ID, GPU and token ledger, graded metrics, failure samples, signed cycle decision.</x:v>
      </x:c>
      <x:c r="E34" s="6"/>
      <x:c r="F34" s="6"/>
      <x:c r="G34" s="6"/>
      <x:c r="H34" s="6"/>
      <x:c r="I34" s="6"/>
      <x:c r="J34" s="6"/>
      <x:c r="K34" s="6"/>
      <x:c r="L34" s="6"/>
    </x:row>
    <x:row r="35" ht="76" customHeight="1">
      <x:c r="A35" s="158" t="str">
        <x:v>3 · Independent handoff</x:v>
      </x:c>
      <x:c r="B35" s="72" t="str">
        <x:v>Evaluate untouched holdout; package checkpoint/weights, traces, config, results and runbook.</x:v>
      </x:c>
      <x:c r="C35" s="72" t="str">
        <x:v>Accepts delivery by checking objective artifacts, not guaranteed quality uplift.</x:v>
      </x:c>
      <x:c r="D35" s="72" t="str">
        <x:v>Reproducibility report, model registry/version, delivered files and signed handoff.</x:v>
      </x:c>
      <x:c r="E35" s="6"/>
      <x:c r="F35" s="6"/>
      <x:c r="G35" s="6"/>
      <x:c r="H35" s="6"/>
      <x:c r="I35" s="6"/>
      <x:c r="J35" s="6"/>
      <x:c r="K35" s="6"/>
      <x:c r="L35" s="6"/>
    </x:row>
    <x:row r="36" ht="76" customHeight="1">
      <x:c r="A36" s="172" t="str">
        <x:v>4 · Inference pilot (opt.)</x:v>
      </x:c>
      <x:c r="B36" s="173" t="str">
        <x:v>Benchmark representative traffic, SLO throughput, warm replicas, cost and autoscale policy.</x:v>
      </x:c>
      <x:c r="C36" s="173" t="str">
        <x:v>Approves traffic forecast, deployment posture, SLA and commercial service order.</x:v>
      </x:c>
      <x:c r="D36" s="173" t="str">
        <x:v>Load-test results, capacity envelope and approved serving order before production.</x:v>
      </x:c>
      <x:c r="E36" s="6"/>
      <x:c r="F36" s="6"/>
      <x:c r="G36" s="6"/>
      <x:c r="H36" s="6"/>
      <x:c r="I36" s="6"/>
      <x:c r="J36" s="6"/>
      <x:c r="K36" s="6"/>
      <x:c r="L36" s="6"/>
    </x:row>
    <x:row r="37" ht="20" customHeight="1">
      <x:c r="A37" s="6"/>
      <x:c r="B37" s="6"/>
      <x:c r="C37" s="6"/>
      <x:c r="D37" s="6"/>
      <x:c r="E37" s="6"/>
      <x:c r="F37" s="6"/>
      <x:c r="G37" s="6"/>
      <x:c r="H37" s="6"/>
      <x:c r="I37" s="6"/>
      <x:c r="J37" s="6"/>
      <x:c r="K37" s="6"/>
      <x:c r="L37" s="6"/>
    </x:row>
    <x:row r="38" ht="20" customHeight="1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</x:row>
    <x:row r="39" ht="24" customHeight="1">
      <x:c r="A39" s="21" t="str">
        <x:v>D   STOPPING RULES + DECISION AUTHORITY</x:v>
      </x:c>
      <x:c r="B39" s="21"/>
      <x:c r="C39" s="21"/>
      <x:c r="D39" s="21"/>
      <x:c r="E39" s="6"/>
      <x:c r="F39" s="6"/>
      <x:c r="G39" s="6"/>
      <x:c r="H39" s="6"/>
      <x:c r="I39" s="6"/>
      <x:c r="J39" s="6"/>
      <x:c r="K39" s="6"/>
      <x:c r="L39" s="6"/>
    </x:row>
    <x:row r="40" ht="20" customHeight="1">
      <x:c r="A40" s="6" t="str">
        <x:v>Success score required</x:v>
      </x:c>
      <x:c r="B40" s="78" t="n">
        <x:f>'01 Deal Setup'!B17</x:f>
        <x:v>0.8</x:v>
      </x:c>
      <x:c r="C40" s="6"/>
      <x:c r="D40" s="177" t="str">
        <x:v>A score threshold, plateau, cycle cap or budget limit triggers a review; only the customer authorizes continuing/ending work.</x:v>
      </x:c>
      <x:c r="E40" s="6"/>
      <x:c r="F40" s="6"/>
      <x:c r="G40" s="6"/>
      <x:c r="H40" s="6"/>
      <x:c r="I40" s="6"/>
      <x:c r="J40" s="6"/>
      <x:c r="K40" s="6"/>
      <x:c r="L40" s="6"/>
    </x:row>
    <x:row r="41" ht="20" customHeight="1">
      <x:c r="A41" s="6" t="str">
        <x:v>Plateau trigger</x:v>
      </x:c>
      <x:c r="B41" s="6" t="str">
        <x:f>"&lt;"&amp;TEXT('01 Deal Setup'!B18,"0.0%")&amp;" gain for "&amp;'01 Deal Setup'!B19&amp;" cycles"</x:f>
        <x:v>&lt;1.0% gain for 2 cycles</x:v>
      </x:c>
      <x:c r="C41" s="6"/>
      <x:c r="D41" s="177"/>
      <x:c r="E41" s="6"/>
      <x:c r="F41" s="6"/>
      <x:c r="G41" s="6"/>
      <x:c r="H41" s="6"/>
      <x:c r="I41" s="6"/>
      <x:c r="J41" s="6"/>
      <x:c r="K41" s="6"/>
      <x:c r="L41" s="6"/>
    </x:row>
    <x:row r="42" ht="20" customHeight="1">
      <x:c r="A42" s="6" t="str">
        <x:v>Max preauthorized cycles</x:v>
      </x:c>
      <x:c r="B42" s="6" t="n">
        <x:f>'01 Deal Setup'!B10</x:f>
        <x:v>3</x:v>
      </x:c>
      <x:c r="C42" s="6"/>
      <x:c r="D42" s="177"/>
      <x:c r="E42" s="6"/>
      <x:c r="F42" s="6"/>
      <x:c r="G42" s="6"/>
      <x:c r="H42" s="6"/>
      <x:c r="I42" s="6"/>
      <x:c r="J42" s="6"/>
      <x:c r="K42" s="6"/>
      <x:c r="L42" s="6"/>
    </x:row>
    <x:row r="43" ht="20" customHeight="1">
      <x:c r="A43" s="6" t="str">
        <x:v>Current review status</x:v>
      </x:c>
      <x:c r="B43" s="6" t="str">
        <x:f>'01 Deal Setup'!G18</x:f>
        <x:v>NO RESULTS YET</x:v>
      </x:c>
      <x:c r="C43" s="6"/>
      <x:c r="D43" s="177"/>
      <x:c r="E43" s="6"/>
      <x:c r="F43" s="6"/>
      <x:c r="G43" s="6"/>
      <x:c r="H43" s="6"/>
      <x:c r="I43" s="6"/>
      <x:c r="J43" s="6"/>
      <x:c r="K43" s="6"/>
      <x:c r="L43" s="6"/>
    </x:row>
    <x:row r="44" ht="20" customHeight="1">
      <x:c r="A44" s="6" t="str">
        <x:v>Formal decision owner</x:v>
      </x:c>
      <x:c r="B44" s="6" t="str">
        <x:f>'01 Deal Setup'!B30</x:f>
        <x:v>Customer product / SME lead</x:v>
      </x:c>
      <x:c r="C44" s="6"/>
      <x:c r="D44" s="177"/>
      <x:c r="E44" s="6"/>
      <x:c r="F44" s="6"/>
      <x:c r="G44" s="6"/>
      <x:c r="H44" s="6"/>
      <x:c r="I44" s="6"/>
      <x:c r="J44" s="6"/>
      <x:c r="K44" s="6"/>
      <x:c r="L44" s="6"/>
    </x:row>
    <x:row r="45" ht="20" customHeight="1">
      <x:c r="A45" s="6"/>
      <x:c r="B45" s="6"/>
      <x:c r="C45" s="6"/>
      <x:c r="D45" s="6"/>
      <x:c r="E45" s="6"/>
      <x:c r="F45" s="6"/>
      <x:c r="G45" s="6"/>
      <x:c r="H45" s="6"/>
      <x:c r="I45" s="6"/>
      <x:c r="J45" s="6"/>
      <x:c r="K45" s="6"/>
      <x:c r="L45" s="6"/>
    </x:row>
    <x:row r="46" ht="20" customHeight="1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</x:row>
    <x:row r="47" ht="24" customHeight="1">
      <x:c r="A47" s="21" t="str">
        <x:v>E   AMENDMENTS AND SCALE TRIGGERS</x:v>
      </x:c>
      <x:c r="B47" s="21"/>
      <x:c r="C47" s="21"/>
      <x:c r="D47" s="21"/>
      <x:c r="E47" s="6"/>
      <x:c r="F47" s="6"/>
      <x:c r="G47" s="6"/>
      <x:c r="H47" s="6"/>
      <x:c r="I47" s="6"/>
      <x:c r="J47" s="6"/>
      <x:c r="K47" s="6"/>
      <x:c r="L47" s="6"/>
    </x:row>
    <x:row r="48" ht="40" customHeight="1">
      <x:c r="A48" s="173" t="str">
        <x:v>New base model or method</x:v>
      </x:c>
      <x:c r="B48" s="173" t="str">
        <x:v>Re-benchmark model fit, memory, unit rates, training throughput and evaluator comparability.</x:v>
      </x:c>
      <x:c r="C48" s="173"/>
      <x:c r="D48" s="173"/>
      <x:c r="E48" s="6"/>
      <x:c r="F48" s="6"/>
      <x:c r="G48" s="6"/>
      <x:c r="H48" s="6"/>
      <x:c r="I48" s="6"/>
      <x:c r="J48" s="6"/>
      <x:c r="K48" s="6"/>
      <x:c r="L48" s="6"/>
    </x:row>
    <x:row r="49" ht="40" customHeight="1">
      <x:c r="A49" s="72" t="str">
        <x:v>More cycles / higher token volume</x:v>
      </x:c>
      <x:c r="B49" s="72" t="str">
        <x:v>Written change order before exceeding the approved cycle count or compute allowance.</x:v>
      </x:c>
      <x:c r="C49" s="72"/>
      <x:c r="D49" s="72"/>
      <x:c r="E49" s="6"/>
      <x:c r="F49" s="6"/>
      <x:c r="G49" s="6"/>
      <x:c r="H49" s="6"/>
      <x:c r="I49" s="6"/>
      <x:c r="J49" s="6"/>
      <x:c r="K49" s="6"/>
      <x:c r="L49" s="6"/>
    </x:row>
    <x:row r="50" ht="40" customHeight="1">
      <x:c r="A50" s="173" t="str">
        <x:v>New workflow, data regime or grader</x:v>
      </x:c>
      <x:c r="B50" s="173" t="str">
        <x:v>Re-scope data rights, acceptance benchmarks, engineering and deadline.</x:v>
      </x:c>
      <x:c r="C50" s="173"/>
      <x:c r="D50" s="173"/>
      <x:c r="E50" s="6"/>
      <x:c r="F50" s="6"/>
      <x:c r="G50" s="6"/>
      <x:c r="H50" s="6"/>
      <x:c r="I50" s="6"/>
      <x:c r="J50" s="6"/>
      <x:c r="K50" s="6"/>
      <x:c r="L50" s="6"/>
    </x:row>
    <x:row r="51" ht="40" customHeight="1">
      <x:c r="A51" s="72" t="str">
        <x:v>Different region, isolation or GPU topology</x:v>
      </x:c>
      <x:c r="B51" s="72" t="str">
        <x:v>Reassess availability, security posture, commitments and price.</x:v>
      </x:c>
      <x:c r="C51" s="72"/>
      <x:c r="D51" s="72"/>
      <x:c r="E51" s="6"/>
      <x:c r="F51" s="6"/>
      <x:c r="G51" s="6"/>
      <x:c r="H51" s="6"/>
      <x:c r="I51" s="6"/>
      <x:c r="J51" s="6"/>
      <x:c r="K51" s="6"/>
      <x:c r="L51" s="6"/>
    </x:row>
    <x:row r="52" ht="40" customHeight="1">
      <x:c r="A52" s="173" t="str">
        <x:v>Production launch or SLA upgrade</x:v>
      </x:c>
      <x:c r="B52" s="173" t="str">
        <x:v>Separate serving order with p95/p99 target, traffic envelope, availability, and minimums.</x:v>
      </x:c>
      <x:c r="C52" s="173"/>
      <x:c r="D52" s="173"/>
      <x:c r="E52" s="6"/>
      <x:c r="F52" s="6"/>
      <x:c r="G52" s="6"/>
      <x:c r="H52" s="6"/>
      <x:c r="I52" s="6"/>
      <x:c r="J52" s="6"/>
      <x:c r="K52" s="6"/>
      <x:c r="L52" s="6"/>
    </x:row>
    <x:row r="53" ht="40" customHeight="1">
      <x:c r="A53" s="72" t="str">
        <x:v>Production demand exceeds contracted envelope</x:v>
      </x:c>
      <x:c r="B53" s="72" t="str">
        <x:v>Review at 80% capacity; amendment before adding replicas, GPUs or &gt;20% contracted traffic / concurrency.</x:v>
      </x:c>
      <x:c r="C53" s="72"/>
      <x:c r="D53" s="72"/>
      <x:c r="E53" s="6"/>
      <x:c r="F53" s="6"/>
      <x:c r="G53" s="6"/>
      <x:c r="H53" s="6"/>
      <x:c r="I53" s="6"/>
      <x:c r="J53" s="6"/>
      <x:c r="K53" s="6"/>
      <x:c r="L53" s="6"/>
    </x:row>
    <x:row r="54" ht="40" customHeight="1">
      <x:c r="A54" s="173" t="str">
        <x:v>Customer pause / termination</x:v>
      </x:c>
      <x:c r="B54" s="173" t="str">
        <x:v>Customer covers approved work and uncancelable new supplier commitments, net of reasonable redeployment.</x:v>
      </x:c>
      <x:c r="C54" s="173"/>
      <x:c r="D54" s="173"/>
      <x:c r="E54" s="6"/>
      <x:c r="F54" s="6"/>
      <x:c r="G54" s="6"/>
      <x:c r="H54" s="6"/>
      <x:c r="I54" s="6"/>
      <x:c r="J54" s="6"/>
      <x:c r="K54" s="6"/>
      <x:c r="L54" s="6"/>
    </x:row>
    <x:row r="55" ht="20" customHeight="1">
      <x:c r="A55" s="6"/>
      <x:c r="B55" s="6"/>
      <x:c r="C55" s="6"/>
      <x:c r="D55" s="6"/>
      <x:c r="E55" s="6"/>
      <x:c r="F55" s="6"/>
      <x:c r="G55" s="6"/>
      <x:c r="H55" s="6"/>
      <x:c r="I55" s="6"/>
      <x:c r="J55" s="6"/>
      <x:c r="K55" s="6"/>
      <x:c r="L55" s="6"/>
    </x:row>
    <x:row r="56" ht="20" customHeight="1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</x:row>
    <x:row r="57" ht="20" customHeight="1">
      <x:c r="A57" s="6"/>
      <x:c r="B57" s="6"/>
      <x:c r="C57" s="6"/>
      <x:c r="D57" s="6"/>
      <x:c r="E57" s="6"/>
      <x:c r="F57" s="6"/>
      <x:c r="G57" s="6"/>
      <x:c r="H57" s="6"/>
      <x:c r="I57" s="6"/>
      <x:c r="J57" s="6"/>
      <x:c r="K57" s="6"/>
      <x:c r="L57" s="6"/>
    </x:row>
    <x:row r="58" ht="20" customHeight="1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</x:row>
    <x:row r="59" ht="20" customHeight="1">
      <x:c r="A59" s="6"/>
      <x:c r="B59" s="6"/>
      <x:c r="C59" s="6"/>
      <x:c r="D59" s="6"/>
      <x:c r="E59" s="6"/>
      <x:c r="F59" s="6"/>
      <x:c r="G59" s="6"/>
      <x:c r="H59" s="6"/>
      <x:c r="I59" s="6"/>
      <x:c r="J59" s="6"/>
      <x:c r="K59" s="6"/>
      <x:c r="L59" s="6"/>
    </x:row>
    <x:row r="60" ht="20" customHeight="1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</x:row>
    <x:row r="61" ht="20" customHeight="1">
      <x:c r="A61" s="6"/>
      <x:c r="B61" s="6"/>
      <x:c r="C61" s="6"/>
      <x:c r="D61" s="6"/>
      <x:c r="E61" s="6"/>
      <x:c r="F61" s="6"/>
      <x:c r="G61" s="6"/>
      <x:c r="H61" s="6"/>
      <x:c r="I61" s="6"/>
      <x:c r="J61" s="6"/>
      <x:c r="K61" s="6"/>
      <x:c r="L61" s="6"/>
    </x:row>
    <x:row r="62" ht="20" customHeight="1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</x:row>
    <x:row r="63" ht="20" customHeight="1">
      <x:c r="A63" s="6"/>
      <x:c r="B63" s="6"/>
      <x:c r="C63" s="6"/>
      <x:c r="D63" s="6"/>
      <x:c r="E63" s="6"/>
      <x:c r="F63" s="6"/>
      <x:c r="G63" s="6"/>
      <x:c r="H63" s="6"/>
      <x:c r="I63" s="6"/>
      <x:c r="J63" s="6"/>
      <x:c r="K63" s="6"/>
      <x:c r="L63" s="6"/>
    </x:row>
    <x:row r="64" ht="20" customHeight="1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</x:row>
    <x:row r="65" ht="20" customHeight="1">
      <x:c r="A65" s="6"/>
      <x:c r="B65" s="6"/>
      <x:c r="C65" s="6"/>
      <x:c r="D65" s="6"/>
      <x:c r="E65" s="6"/>
      <x:c r="F65" s="6"/>
      <x:c r="G65" s="6"/>
      <x:c r="H65" s="6"/>
      <x:c r="I65" s="6"/>
      <x:c r="J65" s="6"/>
      <x:c r="K65" s="6"/>
      <x:c r="L65" s="6"/>
    </x:row>
    <x:row r="66" ht="20" customHeight="1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</x:row>
    <x:row r="67" ht="20" customHeight="1">
      <x:c r="A67" s="6"/>
      <x:c r="B67" s="6"/>
      <x:c r="C67" s="6"/>
      <x:c r="D67" s="6"/>
      <x:c r="E67" s="6"/>
      <x:c r="F67" s="6"/>
      <x:c r="G67" s="6"/>
      <x:c r="H67" s="6"/>
      <x:c r="I67" s="6"/>
      <x:c r="J67" s="6"/>
      <x:c r="K67" s="6"/>
      <x:c r="L67" s="6"/>
    </x:row>
    <x:row r="68" ht="20" customHeight="1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</x:row>
    <x:row r="69" ht="20" customHeight="1">
      <x:c r="A69" s="6"/>
      <x:c r="B69" s="6"/>
      <x:c r="C69" s="6"/>
      <x:c r="D69" s="6"/>
      <x:c r="E69" s="6"/>
      <x:c r="F69" s="6"/>
      <x:c r="G69" s="6"/>
      <x:c r="H69" s="6"/>
      <x:c r="I69" s="6"/>
      <x:c r="J69" s="6"/>
      <x:c r="K69" s="6"/>
      <x:c r="L69" s="6"/>
    </x:row>
    <x:row r="70" ht="20" customHeight="1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</x:row>
    <x:row r="71" ht="20" customHeight="1">
      <x:c r="A71" s="6"/>
      <x:c r="B71" s="6"/>
      <x:c r="C71" s="6"/>
      <x:c r="D71" s="6"/>
      <x:c r="E71" s="6"/>
      <x:c r="F71" s="6"/>
      <x:c r="G71" s="6"/>
      <x:c r="H71" s="6"/>
      <x:c r="I71" s="6"/>
      <x:c r="J71" s="6"/>
      <x:c r="K71" s="6"/>
      <x:c r="L71" s="6"/>
    </x:row>
    <x:row r="72" ht="20" customHeight="1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</x:row>
    <x:row r="73" ht="20" customHeight="1">
      <x:c r="A73" s="6"/>
      <x:c r="B73" s="6"/>
      <x:c r="C73" s="6"/>
      <x:c r="D73" s="6"/>
      <x:c r="E73" s="6"/>
      <x:c r="F73" s="6"/>
      <x:c r="G73" s="6"/>
      <x:c r="H73" s="6"/>
      <x:c r="I73" s="6"/>
      <x:c r="J73" s="6"/>
      <x:c r="K73" s="6"/>
      <x:c r="L73" s="6"/>
    </x:row>
    <x:row r="74" ht="20" customHeight="1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</x:row>
    <x:row r="75" ht="20" customHeight="1">
      <x:c r="A75" s="6"/>
      <x:c r="B75" s="6"/>
      <x:c r="C75" s="6"/>
      <x:c r="D75" s="6"/>
      <x:c r="E75" s="6"/>
      <x:c r="F75" s="6"/>
      <x:c r="G75" s="6"/>
      <x:c r="H75" s="6"/>
      <x:c r="I75" s="6"/>
      <x:c r="J75" s="6"/>
      <x:c r="K75" s="6"/>
      <x:c r="L75" s="6"/>
    </x:row>
    <x:row r="76" ht="20" customHeight="1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</x:row>
    <x:row r="77" ht="20" customHeight="1">
      <x:c r="A77" s="6"/>
      <x:c r="B77" s="6"/>
      <x:c r="C77" s="6"/>
      <x:c r="D77" s="6"/>
      <x:c r="E77" s="6"/>
      <x:c r="F77" s="6"/>
      <x:c r="G77" s="6"/>
      <x:c r="H77" s="6"/>
      <x:c r="I77" s="6"/>
      <x:c r="J77" s="6"/>
      <x:c r="K77" s="6"/>
      <x:c r="L77" s="6"/>
    </x:row>
    <x:row r="78" ht="20" customHeight="1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</x:row>
    <x:row r="79" ht="20" customHeight="1">
      <x:c r="A79" s="6"/>
      <x:c r="B79" s="6"/>
      <x:c r="C79" s="6"/>
      <x:c r="D79" s="6"/>
      <x:c r="E79" s="6"/>
      <x:c r="F79" s="6"/>
      <x:c r="G79" s="6"/>
      <x:c r="H79" s="6"/>
      <x:c r="I79" s="6"/>
      <x:c r="J79" s="6"/>
      <x:c r="K79" s="6"/>
      <x:c r="L79" s="6"/>
    </x:row>
    <x:row r="80" ht="20" customHeight="1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</x:row>
    <x:row r="81" ht="20" customHeight="1">
      <x:c r="A81" s="6"/>
      <x:c r="B81" s="6"/>
      <x:c r="C81" s="6"/>
      <x:c r="D81" s="6"/>
      <x:c r="E81" s="6"/>
      <x:c r="F81" s="6"/>
      <x:c r="G81" s="6"/>
      <x:c r="H81" s="6"/>
      <x:c r="I81" s="6"/>
      <x:c r="J81" s="6"/>
      <x:c r="K81" s="6"/>
      <x:c r="L81" s="6"/>
    </x:row>
    <x:row r="82" ht="20" customHeight="1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</x:row>
    <x:row r="83" ht="20" customHeight="1">
      <x:c r="A83" s="6"/>
      <x:c r="B83" s="6"/>
      <x:c r="C83" s="6"/>
      <x:c r="D83" s="6"/>
      <x:c r="E83" s="6"/>
      <x:c r="F83" s="6"/>
      <x:c r="G83" s="6"/>
      <x:c r="H83" s="6"/>
      <x:c r="I83" s="6"/>
      <x:c r="J83" s="6"/>
      <x:c r="K83" s="6"/>
      <x:c r="L83" s="6"/>
    </x:row>
    <x:row r="84" ht="20" customHeight="1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</x:row>
    <x:row r="85" ht="20" customHeight="1">
      <x:c r="A85" s="6"/>
      <x:c r="B85" s="6"/>
      <x:c r="C85" s="6"/>
      <x:c r="D85" s="6"/>
      <x:c r="E85" s="6"/>
      <x:c r="F85" s="6"/>
      <x:c r="G85" s="6"/>
      <x:c r="H85" s="6"/>
      <x:c r="I85" s="6"/>
      <x:c r="J85" s="6"/>
      <x:c r="K85" s="6"/>
      <x:c r="L85" s="6"/>
    </x:row>
    <x:row r="86" ht="20" customHeight="1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</x:row>
    <x:row r="87" ht="20" customHeight="1">
      <x:c r="A87" s="6"/>
      <x:c r="B87" s="6"/>
      <x:c r="C87" s="6"/>
      <x:c r="D87" s="6"/>
      <x:c r="E87" s="6"/>
      <x:c r="F87" s="6"/>
      <x:c r="G87" s="6"/>
      <x:c r="H87" s="6"/>
      <x:c r="I87" s="6"/>
      <x:c r="J87" s="6"/>
      <x:c r="K87" s="6"/>
      <x:c r="L87" s="6"/>
    </x:row>
    <x:row r="88" ht="20" customHeight="1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</x:row>
    <x:row r="89" ht="20" customHeight="1">
      <x:c r="A89" s="6"/>
      <x:c r="B89" s="6"/>
      <x:c r="C89" s="6"/>
      <x:c r="D89" s="6"/>
      <x:c r="E89" s="6"/>
      <x:c r="F89" s="6"/>
      <x:c r="G89" s="6"/>
      <x:c r="H89" s="6"/>
      <x:c r="I89" s="6"/>
      <x:c r="J89" s="6"/>
      <x:c r="K89" s="6"/>
      <x:c r="L89" s="6"/>
    </x:row>
    <x:row r="90" ht="20" customHeight="1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</x:row>
    <x:row r="91" ht="20" customHeight="1">
      <x:c r="A91" s="6"/>
      <x:c r="B91" s="6"/>
      <x:c r="C91" s="6"/>
      <x:c r="D91" s="6"/>
      <x:c r="E91" s="6"/>
      <x:c r="F91" s="6"/>
      <x:c r="G91" s="6"/>
      <x:c r="H91" s="6"/>
      <x:c r="I91" s="6"/>
      <x:c r="J91" s="6"/>
      <x:c r="K91" s="6"/>
      <x:c r="L91" s="6"/>
    </x:row>
    <x:row r="92" ht="20" customHeight="1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</x:row>
    <x:row r="93" ht="20" customHeight="1">
      <x:c r="A93" s="6"/>
      <x:c r="B93" s="6"/>
      <x:c r="C93" s="6"/>
      <x:c r="D93" s="6"/>
      <x:c r="E93" s="6"/>
      <x:c r="F93" s="6"/>
      <x:c r="G93" s="6"/>
      <x:c r="H93" s="6"/>
      <x:c r="I93" s="6"/>
      <x:c r="J93" s="6"/>
      <x:c r="K93" s="6"/>
      <x:c r="L93" s="6"/>
    </x:row>
    <x:row r="94" ht="20" customHeight="1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</x:row>
    <x:row r="95" ht="20" customHeight="1">
      <x:c r="A95" s="6"/>
      <x:c r="B95" s="6"/>
      <x:c r="C95" s="6"/>
      <x:c r="D95" s="6"/>
      <x:c r="E95" s="6"/>
      <x:c r="F95" s="6"/>
      <x:c r="G95" s="6"/>
      <x:c r="H95" s="6"/>
      <x:c r="I95" s="6"/>
      <x:c r="J95" s="6"/>
      <x:c r="K95" s="6"/>
      <x:c r="L95" s="6"/>
    </x:row>
    <x:row r="96" ht="20" customHeight="1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</x:row>
    <x:row r="97" ht="20" customHeight="1">
      <x:c r="A97" s="6"/>
      <x:c r="B97" s="6"/>
      <x:c r="C97" s="6"/>
      <x:c r="D97" s="6"/>
      <x:c r="E97" s="6"/>
      <x:c r="F97" s="6"/>
      <x:c r="G97" s="6"/>
      <x:c r="H97" s="6"/>
      <x:c r="I97" s="6"/>
      <x:c r="J97" s="6"/>
      <x:c r="K97" s="6"/>
      <x:c r="L97" s="6"/>
    </x:row>
    <x:row r="98" ht="20" customHeight="1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</x:row>
    <x:row r="99" ht="20" customHeight="1">
      <x:c r="A99" s="6"/>
      <x:c r="B99" s="6"/>
      <x:c r="C99" s="6"/>
      <x:c r="D99" s="6"/>
      <x:c r="E99" s="6"/>
      <x:c r="F99" s="6"/>
      <x:c r="G99" s="6"/>
      <x:c r="H99" s="6"/>
      <x:c r="I99" s="6"/>
      <x:c r="J99" s="6"/>
      <x:c r="K99" s="6"/>
      <x:c r="L99" s="6"/>
    </x:row>
    <x:row r="100" ht="20" customHeight="1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</x:row>
    <x:row r="101" ht="20" customHeight="1">
      <x:c r="A101" s="6"/>
      <x:c r="B101" s="6"/>
      <x:c r="C101" s="6"/>
      <x:c r="D101" s="6"/>
      <x:c r="E101" s="6"/>
      <x:c r="F101" s="6"/>
      <x:c r="G101" s="6"/>
      <x:c r="H101" s="6"/>
      <x:c r="I101" s="6"/>
      <x:c r="J101" s="6"/>
      <x:c r="K101" s="6"/>
      <x:c r="L101" s="6"/>
    </x:row>
    <x:row r="102" ht="20" customHeight="1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</x:row>
    <x:row r="103" ht="20" customHeight="1">
      <x:c r="A103" s="6"/>
      <x:c r="B103" s="6"/>
      <x:c r="C103" s="6"/>
      <x:c r="D103" s="6"/>
      <x:c r="E103" s="6"/>
      <x:c r="F103" s="6"/>
      <x:c r="G103" s="6"/>
      <x:c r="H103" s="6"/>
      <x:c r="I103" s="6"/>
      <x:c r="J103" s="6"/>
      <x:c r="K103" s="6"/>
      <x:c r="L103" s="6"/>
    </x:row>
    <x:row r="104" ht="20" customHeight="1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</x:row>
    <x:row r="105" ht="20" customHeight="1">
      <x:c r="A105" s="6"/>
      <x:c r="B105" s="6"/>
      <x:c r="C105" s="6"/>
      <x:c r="D105" s="6"/>
      <x:c r="E105" s="6"/>
      <x:c r="F105" s="6"/>
      <x:c r="G105" s="6"/>
      <x:c r="H105" s="6"/>
      <x:c r="I105" s="6"/>
      <x:c r="J105" s="6"/>
      <x:c r="K105" s="6"/>
      <x:c r="L105" s="6"/>
    </x:row>
    <x:row r="106" ht="20" customHeight="1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</x:row>
    <x:row r="107" ht="20" customHeight="1">
      <x:c r="A107" s="6"/>
      <x:c r="B107" s="6"/>
      <x:c r="C107" s="6"/>
      <x:c r="D107" s="6"/>
      <x:c r="E107" s="6"/>
      <x:c r="F107" s="6"/>
      <x:c r="G107" s="6"/>
      <x:c r="H107" s="6"/>
      <x:c r="I107" s="6"/>
      <x:c r="J107" s="6"/>
      <x:c r="K107" s="6"/>
      <x:c r="L107" s="6"/>
    </x:row>
    <x:row r="108" ht="20" customHeight="1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</x:row>
    <x:row r="109" ht="20" customHeight="1">
      <x:c r="A109" s="6"/>
      <x:c r="B109" s="6"/>
      <x:c r="C109" s="6"/>
      <x:c r="D109" s="6"/>
      <x:c r="E109" s="6"/>
      <x:c r="F109" s="6"/>
      <x:c r="G109" s="6"/>
      <x:c r="H109" s="6"/>
      <x:c r="I109" s="6"/>
      <x:c r="J109" s="6"/>
      <x:c r="K109" s="6"/>
      <x:c r="L109" s="6"/>
    </x:row>
    <x:row r="110" ht="20" customHeight="1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</x:row>
    <x:row r="111" ht="20" customHeight="1">
      <x:c r="A111" s="6"/>
      <x:c r="B111" s="6"/>
      <x:c r="C111" s="6"/>
      <x:c r="D111" s="6"/>
      <x:c r="E111" s="6"/>
      <x:c r="F111" s="6"/>
      <x:c r="G111" s="6"/>
      <x:c r="H111" s="6"/>
      <x:c r="I111" s="6"/>
      <x:c r="J111" s="6"/>
      <x:c r="K111" s="6"/>
      <x:c r="L111" s="6"/>
    </x:row>
    <x:row r="112" ht="20" customHeight="1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</x:row>
    <x:row r="113" ht="20" customHeight="1">
      <x:c r="A113" s="6"/>
      <x:c r="B113" s="6"/>
      <x:c r="C113" s="6"/>
      <x:c r="D113" s="6"/>
      <x:c r="E113" s="6"/>
      <x:c r="F113" s="6"/>
      <x:c r="G113" s="6"/>
      <x:c r="H113" s="6"/>
      <x:c r="I113" s="6"/>
      <x:c r="J113" s="6"/>
      <x:c r="K113" s="6"/>
      <x:c r="L113" s="6"/>
    </x:row>
    <x:row r="114" ht="20" customHeight="1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</x:row>
    <x:row r="115" ht="20" customHeight="1">
      <x:c r="A115" s="6"/>
      <x:c r="B115" s="6"/>
      <x:c r="C115" s="6"/>
      <x:c r="D115" s="6"/>
      <x:c r="E115" s="6"/>
      <x:c r="F115" s="6"/>
      <x:c r="G115" s="6"/>
      <x:c r="H115" s="6"/>
      <x:c r="I115" s="6"/>
      <x:c r="J115" s="6"/>
      <x:c r="K115" s="6"/>
      <x:c r="L115" s="6"/>
    </x:row>
    <x:row r="116" ht="20" customHeight="1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</x:row>
    <x:row r="117" ht="20" customHeight="1">
      <x:c r="A117" s="6"/>
      <x:c r="B117" s="6"/>
      <x:c r="C117" s="6"/>
      <x:c r="D117" s="6"/>
      <x:c r="E117" s="6"/>
      <x:c r="F117" s="6"/>
      <x:c r="G117" s="6"/>
      <x:c r="H117" s="6"/>
      <x:c r="I117" s="6"/>
      <x:c r="J117" s="6"/>
      <x:c r="K117" s="6"/>
      <x:c r="L117" s="6"/>
    </x:row>
    <x:row r="118" ht="20" customHeight="1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</x:row>
    <x:row r="119" ht="20" customHeight="1">
      <x:c r="A119" s="6"/>
      <x:c r="B119" s="6"/>
      <x:c r="C119" s="6"/>
      <x:c r="D119" s="6"/>
      <x:c r="E119" s="6"/>
      <x:c r="F119" s="6"/>
      <x:c r="G119" s="6"/>
      <x:c r="H119" s="6"/>
      <x:c r="I119" s="6"/>
      <x:c r="J119" s="6"/>
      <x:c r="K119" s="6"/>
      <x:c r="L119" s="6"/>
    </x:row>
    <x:row r="120" ht="20" customHeight="1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</x:row>
    <x:row r="121" ht="20" customHeight="1">
      <x:c r="A121" s="6"/>
      <x:c r="B121" s="6"/>
      <x:c r="C121" s="6"/>
      <x:c r="D121" s="6"/>
      <x:c r="E121" s="6"/>
      <x:c r="F121" s="6"/>
      <x:c r="G121" s="6"/>
      <x:c r="H121" s="6"/>
      <x:c r="I121" s="6"/>
      <x:c r="J121" s="6"/>
      <x:c r="K121" s="6"/>
      <x:c r="L121" s="6"/>
    </x:row>
    <x:row r="122" ht="20" customHeight="1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</x:row>
    <x:row r="123" ht="20" customHeight="1">
      <x:c r="A123" s="6"/>
      <x:c r="B123" s="6"/>
      <x:c r="C123" s="6"/>
      <x:c r="D123" s="6"/>
      <x:c r="E123" s="6"/>
      <x:c r="F123" s="6"/>
      <x:c r="G123" s="6"/>
      <x:c r="H123" s="6"/>
      <x:c r="I123" s="6"/>
      <x:c r="J123" s="6"/>
      <x:c r="K123" s="6"/>
      <x:c r="L123" s="6"/>
    </x:row>
    <x:row r="124" ht="20" customHeight="1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</x:row>
    <x:row r="125" ht="20" customHeight="1">
      <x:c r="A125" s="6"/>
      <x:c r="B125" s="6"/>
      <x:c r="C125" s="6"/>
      <x:c r="D125" s="6"/>
      <x:c r="E125" s="6"/>
      <x:c r="F125" s="6"/>
      <x:c r="G125" s="6"/>
      <x:c r="H125" s="6"/>
      <x:c r="I125" s="6"/>
      <x:c r="J125" s="6"/>
      <x:c r="K125" s="6"/>
      <x:c r="L125" s="6"/>
    </x:row>
    <x:row r="126" ht="20" customHeight="1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</x:row>
    <x:row r="127" ht="20" customHeight="1">
      <x:c r="A127" s="6"/>
      <x:c r="B127" s="6"/>
      <x:c r="C127" s="6"/>
      <x:c r="D127" s="6"/>
      <x:c r="E127" s="6"/>
      <x:c r="F127" s="6"/>
      <x:c r="G127" s="6"/>
      <x:c r="H127" s="6"/>
      <x:c r="I127" s="6"/>
      <x:c r="J127" s="6"/>
      <x:c r="K127" s="6"/>
      <x:c r="L127" s="6"/>
    </x:row>
    <x:row r="128" ht="20" customHeight="1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</x:row>
    <x:row r="129" ht="20" customHeight="1">
      <x:c r="A129" s="6"/>
      <x:c r="B129" s="6"/>
      <x:c r="C129" s="6"/>
      <x:c r="D129" s="6"/>
      <x:c r="E129" s="6"/>
      <x:c r="F129" s="6"/>
      <x:c r="G129" s="6"/>
      <x:c r="H129" s="6"/>
      <x:c r="I129" s="6"/>
      <x:c r="J129" s="6"/>
      <x:c r="K129" s="6"/>
      <x:c r="L129" s="6"/>
    </x:row>
    <x:row r="130" ht="20" customHeight="1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</x:row>
    <x:row r="131" ht="20" customHeight="1">
      <x:c r="A131" s="6"/>
      <x:c r="B131" s="6"/>
      <x:c r="C131" s="6"/>
      <x:c r="D131" s="6"/>
      <x:c r="E131" s="6"/>
      <x:c r="F131" s="6"/>
      <x:c r="G131" s="6"/>
      <x:c r="H131" s="6"/>
      <x:c r="I131" s="6"/>
      <x:c r="J131" s="6"/>
      <x:c r="K131" s="6"/>
      <x:c r="L131" s="6"/>
    </x:row>
    <x:row r="132" ht="20" customHeight="1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</x:row>
    <x:row r="133" ht="20" customHeight="1">
      <x:c r="A133" s="6"/>
      <x:c r="B133" s="6"/>
      <x:c r="C133" s="6"/>
      <x:c r="D133" s="6"/>
      <x:c r="E133" s="6"/>
      <x:c r="F133" s="6"/>
      <x:c r="G133" s="6"/>
      <x:c r="H133" s="6"/>
      <x:c r="I133" s="6"/>
      <x:c r="J133" s="6"/>
      <x:c r="K133" s="6"/>
      <x:c r="L133" s="6"/>
    </x:row>
    <x:row r="134" ht="20" customHeight="1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</x:row>
    <x:row r="135" ht="20" customHeight="1">
      <x:c r="A135" s="6"/>
      <x:c r="B135" s="6"/>
      <x:c r="C135" s="6"/>
      <x:c r="D135" s="6"/>
      <x:c r="E135" s="6"/>
      <x:c r="F135" s="6"/>
      <x:c r="G135" s="6"/>
      <x:c r="H135" s="6"/>
      <x:c r="I135" s="6"/>
      <x:c r="J135" s="6"/>
      <x:c r="K135" s="6"/>
      <x:c r="L135" s="6"/>
    </x:row>
    <x:row r="136" ht="20" customHeight="1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</x:row>
    <x:row r="137" ht="20" customHeight="1">
      <x:c r="A137" s="6"/>
      <x:c r="B137" s="6"/>
      <x:c r="C137" s="6"/>
      <x:c r="D137" s="6"/>
      <x:c r="E137" s="6"/>
      <x:c r="F137" s="6"/>
      <x:c r="G137" s="6"/>
      <x:c r="H137" s="6"/>
      <x:c r="I137" s="6"/>
      <x:c r="J137" s="6"/>
      <x:c r="K137" s="6"/>
      <x:c r="L137" s="6"/>
    </x:row>
    <x:row r="138" ht="20" customHeight="1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</x:row>
    <x:row r="139" ht="20" customHeight="1">
      <x:c r="A139" s="6"/>
      <x:c r="B139" s="6"/>
      <x:c r="C139" s="6"/>
      <x:c r="D139" s="6"/>
      <x:c r="E139" s="6"/>
      <x:c r="F139" s="6"/>
      <x:c r="G139" s="6"/>
      <x:c r="H139" s="6"/>
      <x:c r="I139" s="6"/>
      <x:c r="J139" s="6"/>
      <x:c r="K139" s="6"/>
      <x:c r="L139" s="6"/>
    </x:row>
    <x:row r="140" ht="20" customHeight="1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</x:row>
    <x:row r="141" ht="20" customHeight="1">
      <x:c r="A141" s="6"/>
      <x:c r="B141" s="6"/>
      <x:c r="C141" s="6"/>
      <x:c r="D141" s="6"/>
      <x:c r="E141" s="6"/>
      <x:c r="F141" s="6"/>
      <x:c r="G141" s="6"/>
      <x:c r="H141" s="6"/>
      <x:c r="I141" s="6"/>
      <x:c r="J141" s="6"/>
      <x:c r="K141" s="6"/>
      <x:c r="L141" s="6"/>
    </x:row>
    <x:row r="142" ht="20" customHeight="1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</x:row>
    <x:row r="143" ht="20" customHeight="1">
      <x:c r="A143" s="6"/>
      <x:c r="B143" s="6"/>
      <x:c r="C143" s="6"/>
      <x:c r="D143" s="6"/>
      <x:c r="E143" s="6"/>
      <x:c r="F143" s="6"/>
      <x:c r="G143" s="6"/>
      <x:c r="H143" s="6"/>
      <x:c r="I143" s="6"/>
      <x:c r="J143" s="6"/>
      <x:c r="K143" s="6"/>
      <x:c r="L143" s="6"/>
    </x:row>
    <x:row r="144" ht="20" customHeight="1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</x:row>
    <x:row r="145" ht="20" customHeight="1">
      <x:c r="A145" s="6"/>
      <x:c r="B145" s="6"/>
      <x:c r="C145" s="6"/>
      <x:c r="D145" s="6"/>
      <x:c r="E145" s="6"/>
      <x:c r="F145" s="6"/>
      <x:c r="G145" s="6"/>
      <x:c r="H145" s="6"/>
      <x:c r="I145" s="6"/>
      <x:c r="J145" s="6"/>
      <x:c r="K145" s="6"/>
      <x:c r="L145" s="6"/>
    </x:row>
    <x:row r="146" ht="20" customHeight="1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</x:row>
    <x:row r="147" ht="20" customHeight="1">
      <x:c r="A147" s="6"/>
      <x:c r="B147" s="6"/>
      <x:c r="C147" s="6"/>
      <x:c r="D147" s="6"/>
      <x:c r="E147" s="6"/>
      <x:c r="F147" s="6"/>
      <x:c r="G147" s="6"/>
      <x:c r="H147" s="6"/>
      <x:c r="I147" s="6"/>
      <x:c r="J147" s="6"/>
      <x:c r="K147" s="6"/>
      <x:c r="L147" s="6"/>
    </x:row>
    <x:row r="148" ht="20" customHeight="1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</x:row>
    <x:row r="149" ht="20" customHeight="1">
      <x:c r="A149" s="6"/>
      <x:c r="B149" s="6"/>
      <x:c r="C149" s="6"/>
      <x:c r="D149" s="6"/>
      <x:c r="E149" s="6"/>
      <x:c r="F149" s="6"/>
      <x:c r="G149" s="6"/>
      <x:c r="H149" s="6"/>
      <x:c r="I149" s="6"/>
      <x:c r="J149" s="6"/>
      <x:c r="K149" s="6"/>
      <x:c r="L149" s="6"/>
    </x:row>
    <x:row r="150" ht="20" customHeight="1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</x:row>
    <x:row r="151" ht="20" customHeight="1">
      <x:c r="A151" s="6"/>
      <x:c r="B151" s="6"/>
      <x:c r="C151" s="6"/>
      <x:c r="D151" s="6"/>
      <x:c r="E151" s="6"/>
      <x:c r="F151" s="6"/>
      <x:c r="G151" s="6"/>
      <x:c r="H151" s="6"/>
      <x:c r="I151" s="6"/>
      <x:c r="J151" s="6"/>
      <x:c r="K151" s="6"/>
      <x:c r="L151" s="6"/>
    </x:row>
    <x:row r="152" ht="20" customHeight="1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</x:row>
    <x:row r="153" ht="20" customHeight="1">
      <x:c r="A153" s="6"/>
      <x:c r="B153" s="6"/>
      <x:c r="C153" s="6"/>
      <x:c r="D153" s="6"/>
      <x:c r="E153" s="6"/>
      <x:c r="F153" s="6"/>
      <x:c r="G153" s="6"/>
      <x:c r="H153" s="6"/>
      <x:c r="I153" s="6"/>
      <x:c r="J153" s="6"/>
      <x:c r="K153" s="6"/>
      <x:c r="L153" s="6"/>
    </x:row>
    <x:row r="154" ht="20" customHeight="1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</x:row>
    <x:row r="155" ht="20" customHeight="1">
      <x:c r="A155" s="6"/>
      <x:c r="B155" s="6"/>
      <x:c r="C155" s="6"/>
      <x:c r="D155" s="6"/>
      <x:c r="E155" s="6"/>
      <x:c r="F155" s="6"/>
      <x:c r="G155" s="6"/>
      <x:c r="H155" s="6"/>
      <x:c r="I155" s="6"/>
      <x:c r="J155" s="6"/>
      <x:c r="K155" s="6"/>
      <x:c r="L155" s="6"/>
    </x:row>
    <x:row r="156" ht="20" customHeight="1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</x:row>
    <x:row r="157" ht="20" customHeight="1">
      <x:c r="A157" s="6"/>
      <x:c r="B157" s="6"/>
      <x:c r="C157" s="6"/>
      <x:c r="D157" s="6"/>
      <x:c r="E157" s="6"/>
      <x:c r="F157" s="6"/>
      <x:c r="G157" s="6"/>
      <x:c r="H157" s="6"/>
      <x:c r="I157" s="6"/>
      <x:c r="J157" s="6"/>
      <x:c r="K157" s="6"/>
      <x:c r="L157" s="6"/>
    </x:row>
    <x:row r="158" ht="20" customHeight="1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</x:row>
    <x:row r="159" ht="20" customHeight="1">
      <x:c r="A159" s="6"/>
      <x:c r="B159" s="6"/>
      <x:c r="C159" s="6"/>
      <x:c r="D159" s="6"/>
      <x:c r="E159" s="6"/>
      <x:c r="F159" s="6"/>
      <x:c r="G159" s="6"/>
      <x:c r="H159" s="6"/>
      <x:c r="I159" s="6"/>
      <x:c r="J159" s="6"/>
      <x:c r="K159" s="6"/>
      <x:c r="L159" s="6"/>
    </x:row>
    <x:row r="160" ht="20" customHeight="1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</x:row>
  </x:sheetData>
  <x:mergeCells>
    <x:mergeCell ref="A4:D4"/>
    <x:mergeCell ref="A21:D21"/>
    <x:mergeCell ref="A30:D30"/>
    <x:mergeCell ref="A39:D39"/>
    <x:mergeCell ref="D40:D44"/>
    <x:mergeCell ref="A47:D47"/>
    <x:mergeCell ref="B48:D48"/>
    <x:mergeCell ref="B49:D49"/>
    <x:mergeCell ref="B50:D50"/>
    <x:mergeCell ref="B51:D51"/>
    <x:mergeCell ref="B52:D52"/>
    <x:mergeCell ref="B53:D53"/>
    <x:mergeCell ref="B54:D54"/>
    <x:mergeCell ref="F4:L6"/>
    <x:mergeCell ref="A1:D1"/>
    <x:mergeCell ref="A2:D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3" hidden="0" customWidth="1"/>
    <x:col min="2" max="2" width="39" hidden="0" customWidth="1"/>
    <x:col min="3" max="3" width="42" hidden="0" customWidth="1"/>
    <x:col min="4" max="4" width="48" hidden="0" customWidth="1"/>
    <x:col min="5" max="5" width="3" hidden="0" customWidth="1"/>
    <x:col min="6" max="6" width="26" hidden="0" customWidth="1"/>
    <x:col min="7" max="7" width="15" hidden="0" customWidth="1"/>
    <x:col min="8" max="8" width="15" hidden="0" customWidth="1"/>
    <x:col min="9" max="9" width="14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9" hidden="0" customWidth="1"/>
    <x:col min="15" max="15" width="21" hidden="0" customWidth="1"/>
    <x:col min="16" max="16" width="40" hidden="0" customWidth="1"/>
    <x:col min="17" max="17" width="40" hidden="0" customWidth="1"/>
  </x:cols>
  <x:sheetData>
    <x:row r="1" ht="37" customHeight="1">
      <x:c r="A1" s="10" t="str">
        <x:v>USER GUIDE + ASSUMPTION REGISTER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</x:row>
    <x:row r="2" ht="27" customHeight="1">
      <x:c r="A2" s="16" t="str">
        <x:v>The spreadsheet is an editable prototype of a deal-underwriting product; assumptions are explicitly illustrative, not disclosed company rates.</x:v>
      </x:c>
      <x:c r="B2" s="16"/>
      <x:c r="C2" s="16"/>
      <x:c r="D2" s="16"/>
      <x:c r="E2" s="16"/>
      <x:c r="F2" s="16"/>
      <x:c r="G2" s="16"/>
      <x:c r="H2" s="16"/>
      <x:c r="I2" s="16"/>
      <x:c r="J2" s="16"/>
      <x:c r="K2" s="16"/>
      <x:c r="L2" s="16"/>
    </x:row>
    <x:row r="3" ht="20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</x:row>
    <x:row r="4" ht="24" customHeight="1">
      <x:c r="A4" s="21" t="str">
        <x:v>HOW TO USE (UNDER 5 MINUTES)</x:v>
      </x:c>
      <x:c r="B4" s="21"/>
      <x:c r="C4" s="21"/>
      <x:c r="D4" s="21"/>
      <x:c r="E4" s="6"/>
      <x:c r="F4" s="6"/>
      <x:c r="G4" s="6"/>
      <x:c r="H4" s="6"/>
      <x:c r="I4" s="6"/>
      <x:c r="J4" s="6"/>
      <x:c r="K4" s="6"/>
      <x:c r="L4" s="6"/>
    </x:row>
    <x:row r="5" ht="34" customHeight="1">
      <x:c r="A5" s="6" t="str">
        <x:v>1 · Start</x:v>
      </x:c>
      <x:c r="B5" s="6" t="str">
        <x:v>01 Deal Setup</x:v>
      </x:c>
      <x:c r="C5" s="72" t="str">
        <x:v>Edit orange/blue inputs for customer, model, cycles, demand and stop rules.</x:v>
      </x:c>
      <x:c r="D5" s="72"/>
      <x:c r="E5" s="6"/>
      <x:c r="F5" s="6"/>
      <x:c r="G5" s="6"/>
      <x:c r="H5" s="6"/>
      <x:c r="I5" s="6"/>
      <x:c r="J5" s="6"/>
      <x:c r="K5" s="6"/>
      <x:c r="L5" s="6"/>
    </x:row>
    <x:row r="6" ht="34" customHeight="1">
      <x:c r="A6" s="6" t="str">
        <x:v>2 · Capacity</x:v>
      </x:c>
      <x:c r="B6" s="6" t="str">
        <x:v>01 Deal Setup rows 78-111</x:v>
      </x:c>
      <x:c r="C6" s="72" t="str">
        <x:v>Enter usable GPUs per contract, valid dates (week numbers), and acquisition choice.</x:v>
      </x:c>
      <x:c r="D6" s="72"/>
      <x:c r="E6" s="6"/>
      <x:c r="F6" s="6"/>
      <x:c r="G6" s="6"/>
      <x:c r="H6" s="6"/>
      <x:c r="I6" s="6"/>
      <x:c r="J6" s="6"/>
      <x:c r="K6" s="6"/>
      <x:c r="L6" s="6"/>
    </x:row>
    <x:row r="7" ht="34" customHeight="1">
      <x:c r="A7" s="6" t="str">
        <x:v>3 · Actual evals</x:v>
      </x:c>
      <x:c r="B7" s="6" t="str">
        <x:v>01 Deal Setup score log</x:v>
      </x:c>
      <x:c r="C7" s="72" t="str">
        <x:v>Enter scores in order, then record the customer's Stop/Continue decision. This updates guidance, NOT the signed commercial commitment.</x:v>
      </x:c>
      <x:c r="D7" s="72"/>
      <x:c r="E7" s="6"/>
      <x:c r="F7" s="6"/>
      <x:c r="G7" s="6"/>
      <x:c r="H7" s="6"/>
      <x:c r="I7" s="6"/>
      <x:c r="J7" s="6"/>
      <x:c r="K7" s="6"/>
      <x:c r="L7" s="6"/>
    </x:row>
    <x:row r="8" ht="34" customHeight="1">
      <x:c r="A8" s="6" t="str">
        <x:v>4 · Economics</x:v>
      </x:c>
      <x:c r="B8" s="6" t="str">
        <x:v>02 Economics Capacity</x:v>
      </x:c>
      <x:c r="C8" s="72" t="str">
        <x:v>Review GPU-hours, weekly shortage, cash/allocated/opportunity cost and margin.</x:v>
      </x:c>
      <x:c r="D8" s="72"/>
      <x:c r="E8" s="6"/>
      <x:c r="F8" s="6"/>
      <x:c r="G8" s="6"/>
      <x:c r="H8" s="6"/>
      <x:c r="I8" s="6"/>
      <x:c r="J8" s="6"/>
      <x:c r="K8" s="6"/>
      <x:c r="L8" s="6"/>
    </x:row>
    <x:row r="9" ht="34" customHeight="1">
      <x:c r="A9" s="6" t="str">
        <x:v>5 · Client documents</x:v>
      </x:c>
      <x:c r="B9" s="6" t="str">
        <x:v>03 Offer and SOW</x:v>
      </x:c>
      <x:c r="C9" s="72" t="str">
        <x:v>Use the offer + SOW as review drafts. If the customer stops early, any contractual credit or re-scope requires mutual approval.</x:v>
      </x:c>
      <x:c r="D9" s="72"/>
      <x:c r="E9" s="6"/>
      <x:c r="F9" s="6"/>
      <x:c r="G9" s="6"/>
      <x:c r="H9" s="6"/>
      <x:c r="I9" s="6"/>
      <x:c r="J9" s="6"/>
      <x:c r="K9" s="6"/>
      <x:c r="L9" s="6"/>
    </x:row>
    <x:row r="10" ht="34" customHeight="1">
      <x:c r="A10" s="6" t="str">
        <x:v>6 · Decision</x:v>
      </x:c>
      <x:c r="B10" s="6" t="str">
        <x:v>01 Deal Setup summary</x:v>
      </x:c>
      <x:c r="C10" s="72" t="str">
        <x:v>Do not send pricing if HOLD, supplier unconfirmed, or quality/throughput unbenchmarked.</x:v>
      </x:c>
      <x:c r="D10" s="72"/>
      <x:c r="E10" s="6"/>
      <x:c r="F10" s="6"/>
      <x:c r="G10" s="6"/>
      <x:c r="H10" s="6"/>
      <x:c r="I10" s="6"/>
      <x:c r="J10" s="6"/>
      <x:c r="K10" s="6"/>
      <x:c r="L10" s="6"/>
    </x:row>
    <x:row r="11" ht="20" customHeight="1">
      <x:c r="A11" s="6"/>
      <x:c r="B11" s="6"/>
      <x:c r="C11" s="6"/>
      <x:c r="D11" s="6"/>
      <x:c r="E11" s="6"/>
      <x:c r="F11" s="6"/>
      <x:c r="G11" s="6"/>
      <x:c r="H11" s="6"/>
      <x:c r="I11" s="6"/>
      <x:c r="J11" s="6"/>
      <x:c r="K11" s="6"/>
      <x:c r="L11" s="6"/>
    </x:row>
    <x:row r="12" ht="24" customHeight="1">
      <x:c r="A12" s="21" t="str">
        <x:v>KEY MODEL EQUATIONS (SIMPLIFIED)</x:v>
      </x:c>
      <x:c r="B12" s="21"/>
      <x:c r="C12" s="21"/>
      <x:c r="D12" s="21"/>
      <x:c r="E12" s="6"/>
      <x:c r="F12" s="6"/>
      <x:c r="G12" s="6"/>
      <x:c r="H12" s="6"/>
      <x:c r="I12" s="6"/>
      <x:c r="J12" s="6"/>
      <x:c r="K12" s="6"/>
      <x:c r="L12" s="6"/>
    </x:row>
    <x:row r="13" ht="37" customHeight="1">
      <x:c r="A13" s="72" t="str">
        <x:v>RL rollout work</x:v>
      </x:c>
      <x:c r="B13" s="72" t="str">
        <x:v>Attempts x (input tokens x input weight + output tokens)</x:v>
      </x:c>
      <x:c r="C13" s="72"/>
      <x:c r="D13" s="72" t="str">
        <x:v>Equivalent tokens, not raw token cost</x:v>
      </x:c>
      <x:c r="E13" s="6"/>
      <x:c r="F13" s="6"/>
      <x:c r="G13" s="6"/>
      <x:c r="H13" s="6"/>
      <x:c r="I13" s="6"/>
      <x:c r="J13" s="6"/>
      <x:c r="K13" s="6"/>
      <x:c r="L13" s="6"/>
    </x:row>
    <x:row r="14" ht="37" customHeight="1">
      <x:c r="A14" s="72" t="str">
        <x:v>GPU-hours</x:v>
      </x:c>
      <x:c r="B14" s="72" t="str">
        <x:v>(training + rollout + eval work) / separate measured GPU throughput</x:v>
      </x:c>
      <x:c r="C14" s="72" t="str">
        <x:v>Training, rollouts and each-cycle evaluations use separate benchmark throughput.</x:v>
      </x:c>
      <x:c r="D14" s="72" t="str">
        <x:v>Model-size performance affects hours</x:v>
      </x:c>
      <x:c r="E14" s="6"/>
      <x:c r="F14" s="6"/>
      <x:c r="G14" s="6"/>
      <x:c r="H14" s="6"/>
      <x:c r="I14" s="6"/>
      <x:c r="J14" s="6"/>
      <x:c r="K14" s="6"/>
      <x:c r="L14" s="6"/>
    </x:row>
    <x:row r="15" ht="37" customHeight="1">
      <x:c r="A15" s="72" t="str">
        <x:v>Required capacity</x:v>
      </x:c>
      <x:c r="B15" s="72" t="str">
        <x:v>Peak GPUs x week availability; sequential jobs reduce peaks</x:v>
      </x:c>
      <x:c r="C15" s="72"/>
      <x:c r="D15" s="72" t="str">
        <x:v>GPU-hours alone do not prove feasibility</x:v>
      </x:c>
      <x:c r="E15" s="6"/>
      <x:c r="F15" s="6"/>
      <x:c r="G15" s="6"/>
      <x:c r="H15" s="6"/>
      <x:c r="I15" s="6"/>
      <x:c r="J15" s="6"/>
      <x:c r="K15" s="6"/>
      <x:c r="L15" s="6"/>
    </x:row>
    <x:row r="16" ht="37" customHeight="1">
      <x:c r="A16" s="72" t="str">
        <x:v>Incremental supplier cost</x:v>
      </x:c>
      <x:c r="B16" s="72" t="str">
        <x:v>Cheapest eligible PayGo / extension / reservation on uncovered capacity</x:v>
      </x:c>
      <x:c r="C16" s="72"/>
      <x:c r="D16" s="72" t="str">
        <x:v>Reserved contracts charge for idle time</x:v>
      </x:c>
      <x:c r="E16" s="6"/>
      <x:c r="F16" s="6"/>
      <x:c r="G16" s="6"/>
      <x:c r="H16" s="6"/>
      <x:c r="I16" s="6"/>
      <x:c r="J16" s="6"/>
      <x:c r="K16" s="6"/>
      <x:c r="L16" s="6"/>
    </x:row>
    <x:row r="17" ht="37" customHeight="1">
      <x:c r="A17" s="72" t="str">
        <x:v>Risk-adjusted delivery COGS</x:v>
      </x:c>
      <x:c r="B17" s="72" t="str">
        <x:v>Labor + external graders + storage + platform + allocated GPU + new commitment + expected rework</x:v>
      </x:c>
      <x:c r="C17" s="72"/>
      <x:c r="D17" s="72" t="str">
        <x:v>Opportunity cost shown separately</x:v>
      </x:c>
      <x:c r="E17" s="6"/>
      <x:c r="F17" s="6"/>
      <x:c r="G17" s="6"/>
      <x:c r="H17" s="6"/>
      <x:c r="I17" s="6"/>
      <x:c r="J17" s="6"/>
      <x:c r="K17" s="6"/>
      <x:c r="L17" s="6"/>
    </x:row>
    <x:row r="18" ht="37" customHeight="1">
      <x:c r="A18" s="72" t="str">
        <x:v>Suggested customer quote</x:v>
      </x:c>
      <x:c r="B18" s="72" t="str">
        <x:v>MAX(itemized fees, forecast COGS / (1-target margin))</x:v>
      </x:c>
      <x:c r="C18" s="72" t="str">
        <x:v>Uplift is a proposed revised fee; client must approve before billing.</x:v>
      </x:c>
      <x:c r="D18" s="72" t="str">
        <x:v>Client offer row 12 explicitly requires written approval.</x:v>
      </x:c>
      <x:c r="E18" s="6"/>
      <x:c r="F18" s="6"/>
      <x:c r="G18" s="6"/>
      <x:c r="H18" s="6"/>
      <x:c r="I18" s="6"/>
      <x:c r="J18" s="6"/>
      <x:c r="K18" s="6"/>
      <x:c r="L18" s="6"/>
    </x:row>
    <x:row r="19" ht="37" customHeight="1">
      <x:c r="A19" s="72" t="str">
        <x:v>Production COGS</x:v>
      </x:c>
      <x:c r="B19" s="72" t="str">
        <x:v>MAX(token work / SLO throughput, warm-replica floor) x GPU rate + direct support</x:v>
      </x:c>
      <x:c r="C19" s="72"/>
      <x:c r="D19" s="72" t="str">
        <x:v>Requires benchmark; separate service agreement</x:v>
      </x:c>
      <x:c r="E19" s="6"/>
      <x:c r="F19" s="6"/>
      <x:c r="G19" s="6"/>
      <x:c r="H19" s="6"/>
      <x:c r="I19" s="6"/>
      <x:c r="J19" s="6"/>
      <x:c r="K19" s="6"/>
      <x:c r="L19" s="6"/>
    </x:row>
    <x:row r="20" ht="20" customHeight="1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</x:row>
    <x:row r="21" ht="20" customHeight="1">
      <x:c r="A21" s="6"/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</x:row>
    <x:row r="22" ht="28" customHeight="1">
      <x:c r="A22" s="21" t="str">
        <x:v>ASSUMPTIONS - DEFAULT, JUSTIFICATION AND REQUIRED EVIDENCE</x:v>
      </x:c>
      <x:c r="B22" s="21"/>
      <x:c r="C22" s="21"/>
      <x:c r="D22" s="21"/>
      <x:c r="E22" s="6"/>
      <x:c r="F22" s="187" t="str">
        <x:v>DOCUMENTED MODEL OPTIONS  |  2026-10-18 KB SNAPSHOT + PUBLIC MODEL SPECS (NOT LIVE AC2 INVENTORY)</x:v>
      </x:c>
      <x:c r="G22" s="187"/>
      <x:c r="H22" s="187"/>
      <x:c r="I22" s="187"/>
      <x:c r="J22" s="187"/>
      <x:c r="K22" s="187"/>
      <x:c r="L22" s="187"/>
      <x:c r="M22" s="188"/>
      <x:c r="N22" s="188"/>
      <x:c r="O22" s="188"/>
      <x:c r="P22" s="188"/>
      <x:c r="Q22" s="188"/>
    </x:row>
    <x:row r="23" ht="24" customHeight="1">
      <x:c r="A23" s="69" t="str">
        <x:v>Inputs / cells</x:v>
      </x:c>
      <x:c r="B23" s="69" t="str">
        <x:v>Default / key assumption</x:v>
      </x:c>
      <x:c r="C23" s="69" t="str">
        <x:v>Why used</x:v>
      </x:c>
      <x:c r="D23" s="69" t="str">
        <x:v>Replace with / source</x:v>
      </x:c>
      <x:c r="E23" s="6"/>
      <x:c r="F23" s="6"/>
      <x:c r="G23" s="6"/>
      <x:c r="H23" s="6"/>
      <x:c r="I23" s="6"/>
      <x:c r="J23" s="6"/>
      <x:c r="K23" s="6"/>
      <x:c r="L23" s="6"/>
    </x:row>
    <x:row r="24" ht="29" customHeight="1">
      <x:c r="A24" s="173" t="str">
        <x:v>Model + sizes · B7/B8</x:v>
      </x:c>
      <x:c r="B24" s="173" t="str">
        <x:v>Named models, total/active B, eligibility</x:v>
      </x:c>
      <x:c r="C24" s="173" t="str">
        <x:v>Parameters are factual when sourced; class factor is not a performance benchmark.</x:v>
      </x:c>
      <x:c r="D24" s="173" t="str">
        <x:v>Guide F:Q has model-by-model provenance; AC2 sources list named models, not exhaustive live support.</x:v>
      </x:c>
      <x:c r="E24" s="6"/>
      <x:c r="F24" s="191" t="str">
        <x:v>Model selection</x:v>
      </x:c>
      <x:c r="G24" s="191" t="str">
        <x:v>Total params (B)</x:v>
      </x:c>
      <x:c r="H24" s="191" t="str">
        <x:v>Active params (B)</x:v>
      </x:c>
      <x:c r="I24" s="191" t="str">
        <x:v>Architecture</x:v>
      </x:c>
      <x:c r="J24" s="191" t="str">
        <x:v>RL training</x:v>
      </x:c>
      <x:c r="K24" s="191" t="str">
        <x:v>Serving</x:v>
      </x:c>
      <x:c r="L24" s="191" t="str">
        <x:v>Evidence</x:v>
      </x:c>
      <x:c r="M24" s="192" t="str">
        <x:v>Proxy class</x:v>
      </x:c>
      <x:c r="N24" s="192" t="str">
        <x:v>HW to qualify</x:v>
      </x:c>
      <x:c r="O24" s="192" t="str">
        <x:v>Parameters source / URL</x:v>
      </x:c>
      <x:c r="P24" s="192" t="str">
        <x:v>AC2 catalog / URL</x:v>
      </x:c>
      <x:c r="Q24" s="192" t="str">
        <x:v>Qualification note</x:v>
      </x:c>
    </x:row>
    <x:row r="25" ht="55" customHeight="1">
      <x:c r="A25" s="72" t="str">
        <x:v>Method · B9</x:v>
      </x:c>
      <x:c r="B25" s="72" t="str">
        <x:v>GRPO (other methods selectable; require revised COGS before approval)</x:v>
      </x:c>
      <x:c r="C25" s="72" t="str">
        <x:v>The included rollout/policy/eval formulas describe GRPO only; non-GRPO cannot be quoted from unchanged assumptions.</x:v>
      </x:c>
      <x:c r="D25" s="72" t="str">
        <x:v>Document the selected method, optimizer, workloads and benchmarked GPU efficiency; then approve revised cost model.</x:v>
      </x:c>
      <x:c r="E25" s="6"/>
      <x:c r="F25" s="6"/>
      <x:c r="G25" s="6"/>
      <x:c r="H25" s="6"/>
      <x:c r="I25" s="6"/>
      <x:c r="J25" s="6"/>
      <x:c r="K25" s="6"/>
      <x:c r="L25" s="6"/>
    </x:row>
    <x:row r="26" ht="24" customHeight="1">
      <x:c r="A26" s="173" t="str">
        <x:v>Cycles/cadence · B10:B14</x:v>
      </x:c>
      <x:c r="B26" s="173" t="str">
        <x:v>3 weekly; 2-week readiness; 1-week handoff</x:v>
      </x:c>
      <x:c r="C26" s="173" t="str">
        <x:v>Bounded change-control program; weekly units</x:v>
      </x:c>
      <x:c r="D26" s="173" t="str">
        <x:v>Approved customer timeline and env/runtime plan</x:v>
      </x:c>
      <x:c r="E26" s="6"/>
      <x:c r="F26" s="6" t="str">
        <x:v>Qwen3.6-35B-A3B</x:v>
      </x:c>
      <x:c r="G26" s="193" t="n">
        <x:v>35</x:v>
      </x:c>
      <x:c r="H26" s="6" t="n">
        <x:v>3</x:v>
      </x:c>
      <x:c r="I26" s="6" t="str">
        <x:v>MoE</x:v>
      </x:c>
      <x:c r="J26" s="6" t="str">
        <x:v>Listed</x:v>
      </x:c>
      <x:c r="K26" s="6" t="str">
        <x:v>Listed</x:v>
      </x:c>
      <x:c r="L26" s="6" t="str">
        <x:v>Model-named</x:v>
      </x:c>
      <x:c r="M26" t="n">
        <x:v>2</x:v>
      </x:c>
      <x:c r="N26" t="str">
        <x:v>Validate</x:v>
      </x:c>
      <x:c r="O26" t="str">
        <x:v>https://huggingface.co/Qwen/Qwen3.6-35B-A3B</x:v>
      </x:c>
      <x:c r="P26" t="str">
        <x:v>https://docs.appliedcompute.com/platform/training/models</x:v>
      </x:c>
      <x:c r="Q26" t="str">
        <x:v>Training &amp; serving named; illustrative benchmark only</x:v>
      </x:c>
    </x:row>
    <x:row r="27" ht="24" customHeight="1">
      <x:c r="A27" s="72" t="str">
        <x:v>Stop/go · B15:B21</x:v>
      </x:c>
      <x:c r="B27" s="72" t="str">
        <x:v>Normalized 0–1, higher-is-better score; 60% baseline / 80% target / 1 pp plateau</x:v>
      </x:c>
      <x:c r="C27" s="72" t="str">
        <x:v>Permits multiple metric labels without changing stop rules; lower-is-better metrics need a model redesign.</x:v>
      </x:c>
      <x:c r="D27" s="72" t="str">
        <x:v>Frozen held-out dataset, signed rubric, human decision</x:v>
      </x:c>
      <x:c r="E27" s="6"/>
      <x:c r="F27" s="6" t="str">
        <x:v>Qwen3.8-27B</x:v>
      </x:c>
      <x:c r="G27" s="193" t="n">
        <x:v>27</x:v>
      </x:c>
      <x:c r="H27" s="6" t="n">
        <x:v>27</x:v>
      </x:c>
      <x:c r="I27" s="6" t="str">
        <x:v>Dense</x:v>
      </x:c>
      <x:c r="J27" s="6" t="str">
        <x:v>Listed</x:v>
      </x:c>
      <x:c r="K27" s="6" t="str">
        <x:v>Listed</x:v>
      </x:c>
      <x:c r="L27" s="6" t="str">
        <x:v>Model-named</x:v>
      </x:c>
      <x:c r="M27" t="n">
        <x:v>2</x:v>
      </x:c>
      <x:c r="N27" t="str">
        <x:v>Validate</x:v>
      </x:c>
      <x:c r="O27" t="str">
        <x:v>https://www.alibabacloud.com/help/en/model-studio/newly-released-models</x:v>
      </x:c>
      <x:c r="P27" t="str">
        <x:v>https://docs.appliedcompute.com/platform/training/models</x:v>
      </x:c>
      <x:c r="Q27" t="str">
        <x:v>Text model; compare vision model license separately</x:v>
      </x:c>
    </x:row>
    <x:row r="28" ht="24" customHeight="1">
      <x:c r="A28" s="173" t="str">
        <x:v>Deal cap · B22</x:v>
      </x:c>
      <x:c r="B28" s="173" t="str">
        <x:v>$260k</x:v>
      </x:c>
      <x:c r="C28" s="173" t="str">
        <x:v>Illustrative customer approval budget</x:v>
      </x:c>
      <x:c r="D28" s="173" t="str">
        <x:v>Confirmed purchasing authority</x:v>
      </x:c>
      <x:c r="E28" s="6"/>
      <x:c r="F28" s="6" t="str">
        <x:v>Qwen3.5-4B</x:v>
      </x:c>
      <x:c r="G28" s="193" t="n">
        <x:v>4</x:v>
      </x:c>
      <x:c r="H28" s="6" t="n">
        <x:v>4</x:v>
      </x:c>
      <x:c r="I28" s="6" t="str">
        <x:v>Dense</x:v>
      </x:c>
      <x:c r="J28" s="6" t="str">
        <x:v>Family - verify</x:v>
      </x:c>
      <x:c r="K28" s="6" t="str">
        <x:v>Not listed</x:v>
      </x:c>
      <x:c r="L28" s="6" t="str">
        <x:v>Family-only</x:v>
      </x:c>
      <x:c r="M28" t="n">
        <x:v>1</x:v>
      </x:c>
      <x:c r="N28" t="str">
        <x:v>Validate</x:v>
      </x:c>
      <x:c r="O28" t="str">
        <x:v>https://huggingface.co/Qwen</x:v>
      </x:c>
      <x:c r="P28" t="str">
        <x:v>https://docs.appliedcompute.com/platform/training/models</x:v>
      </x:c>
      <x:c r="Q28" t="str">
        <x:v>Exact training catalog entry not established</x:v>
      </x:c>
    </x:row>
    <x:row r="29" ht="24" customHeight="1">
      <x:c r="A29" s="72" t="str">
        <x:v>Production · B23:B29</x:v>
      </x:c>
      <x:c r="B29" s="72" t="str">
        <x:v>Optional; 20M in/10M out; 2 warm replicas</x:v>
      </x:c>
      <x:c r="C29" s="72" t="str">
        <x:v>Shows fixed availability cost even with low tokens</x:v>
      </x:c>
      <x:c r="D29" s="72" t="str">
        <x:v>Traffic traces, latency SLO, load test</x:v>
      </x:c>
      <x:c r="E29" s="6"/>
      <x:c r="F29" s="6" t="str">
        <x:v>Qwen3.5-9B</x:v>
      </x:c>
      <x:c r="G29" s="193" t="n">
        <x:v>9</x:v>
      </x:c>
      <x:c r="H29" s="6" t="n">
        <x:v>9</x:v>
      </x:c>
      <x:c r="I29" s="6" t="str">
        <x:v>Dense</x:v>
      </x:c>
      <x:c r="J29" s="6" t="str">
        <x:v>Family - verify</x:v>
      </x:c>
      <x:c r="K29" s="6" t="str">
        <x:v>Not listed</x:v>
      </x:c>
      <x:c r="L29" s="6" t="str">
        <x:v>Family-only</x:v>
      </x:c>
      <x:c r="M29" t="n">
        <x:v>1</x:v>
      </x:c>
      <x:c r="N29" t="str">
        <x:v>Validate</x:v>
      </x:c>
      <x:c r="O29" t="str">
        <x:v>https://huggingface.co/Qwen</x:v>
      </x:c>
      <x:c r="P29" t="str">
        <x:v>https://docs.appliedcompute.com/platform/training/models</x:v>
      </x:c>
      <x:c r="Q29" t="str">
        <x:v>Exact training catalog entry not established</x:v>
      </x:c>
    </x:row>
    <x:row r="30" ht="24" customHeight="1">
      <x:c r="A30" s="173" t="str">
        <x:v>Policy tokens · B35</x:v>
      </x:c>
      <x:c r="B30" s="173" t="str">
        <x:v>42.67M / cycle</x:v>
      </x:c>
      <x:c r="C30" s="173" t="str">
        <x:v>Illustrative 128M total at 3 cycles</x:v>
      </x:c>
      <x:c r="D30" s="173" t="str">
        <x:v>Measured training profiler and step configuration</x:v>
      </x:c>
      <x:c r="E30" s="6"/>
      <x:c r="F30" s="6" t="str">
        <x:v>Qwen3.5-27B</x:v>
      </x:c>
      <x:c r="G30" s="193" t="n">
        <x:v>27</x:v>
      </x:c>
      <x:c r="H30" s="6" t="n">
        <x:v>27</x:v>
      </x:c>
      <x:c r="I30" s="6" t="str">
        <x:v>Dense</x:v>
      </x:c>
      <x:c r="J30" s="6" t="str">
        <x:v>Family - verify</x:v>
      </x:c>
      <x:c r="K30" s="6" t="str">
        <x:v>Not listed</x:v>
      </x:c>
      <x:c r="L30" s="6" t="str">
        <x:v>Family-only</x:v>
      </x:c>
      <x:c r="M30" t="n">
        <x:v>2</x:v>
      </x:c>
      <x:c r="N30" t="str">
        <x:v>Validate</x:v>
      </x:c>
      <x:c r="O30" t="str">
        <x:v>https://huggingface.co/Qwen</x:v>
      </x:c>
      <x:c r="P30" t="str">
        <x:v>https://docs.appliedcompute.com/platform/training/models</x:v>
      </x:c>
      <x:c r="Q30" t="str">
        <x:v>Exact training catalog entry not established</x:v>
      </x:c>
    </x:row>
    <x:row r="31" ht="24" customHeight="1">
      <x:c r="A31" s="72" t="str">
        <x:v>Rollout demand · B36:B39</x:v>
      </x:c>
      <x:c r="B31" s="72" t="str">
        <x:v>4k attempts; 12k in/10k out; prefill 0.5</x:v>
      </x:c>
      <x:c r="C31" s="72" t="str">
        <x:v>Covers agentic token shape and asynchronous rollout work</x:v>
      </x:c>
      <x:c r="D31" s="72" t="str">
        <x:v>Representative task traces; benchmark engine throughput</x:v>
      </x:c>
      <x:c r="E31" s="6"/>
      <x:c r="F31" s="6" t="str">
        <x:v>Qwen3.5-35B-A3B</x:v>
      </x:c>
      <x:c r="G31" s="193" t="n">
        <x:v>35</x:v>
      </x:c>
      <x:c r="H31" s="6" t="n">
        <x:v>3</x:v>
      </x:c>
      <x:c r="I31" s="6" t="str">
        <x:v>MoE</x:v>
      </x:c>
      <x:c r="J31" s="6" t="str">
        <x:v>Family - verify</x:v>
      </x:c>
      <x:c r="K31" s="6" t="str">
        <x:v>Not listed</x:v>
      </x:c>
      <x:c r="L31" s="6" t="str">
        <x:v>Family-only</x:v>
      </x:c>
      <x:c r="M31" t="n">
        <x:v>2</x:v>
      </x:c>
      <x:c r="N31" t="str">
        <x:v>Validate</x:v>
      </x:c>
      <x:c r="O31" t="str">
        <x:v>https://huggingface.co/Qwen</x:v>
      </x:c>
      <x:c r="P31" t="str">
        <x:v>https://docs.appliedcompute.com/platform/training/models</x:v>
      </x:c>
      <x:c r="Q31" t="str">
        <x:v>Exact training catalog entry not established</x:v>
      </x:c>
    </x:row>
    <x:row r="32" ht="24" customHeight="1">
      <x:c r="A32" s="173" t="str">
        <x:v>Eval demand · B40:B42</x:v>
      </x:c>
      <x:c r="B32" s="173" t="str">
        <x:v>200 cases/cycle + 200 baseline; 20k equiv tokens</x:v>
      </x:c>
      <x:c r="C32" s="173" t="str">
        <x:v>Recurring tests run after each RL cycle; baseline test precedes training.</x:v>
      </x:c>
      <x:c r="D32" s="173" t="str">
        <x:v>Grader time, API tokens, eval profile</x:v>
      </x:c>
      <x:c r="E32" s="6"/>
      <x:c r="F32" s="6" t="str">
        <x:v>Qwen3.5-122B-A10B</x:v>
      </x:c>
      <x:c r="G32" s="193" t="n">
        <x:v>122</x:v>
      </x:c>
      <x:c r="H32" s="6" t="n">
        <x:v>10</x:v>
      </x:c>
      <x:c r="I32" s="6" t="str">
        <x:v>MoE</x:v>
      </x:c>
      <x:c r="J32" s="6" t="str">
        <x:v>Family - verify</x:v>
      </x:c>
      <x:c r="K32" s="6" t="str">
        <x:v>Not listed</x:v>
      </x:c>
      <x:c r="L32" s="6" t="str">
        <x:v>Family-only</x:v>
      </x:c>
      <x:c r="M32" t="n">
        <x:v>3</x:v>
      </x:c>
      <x:c r="N32" t="str">
        <x:v>Multi-node</x:v>
      </x:c>
      <x:c r="O32" t="str">
        <x:v>https://huggingface.co/Qwen</x:v>
      </x:c>
      <x:c r="P32" t="str">
        <x:v>https://docs.appliedcompute.com/platform/training/models</x:v>
      </x:c>
      <x:c r="Q32" t="str">
        <x:v>Large model: topology/throughput must be benchmarked</x:v>
      </x:c>
    </x:row>
    <x:row r="33" ht="24" customHeight="1">
      <x:c r="A33" s="72" t="str">
        <x:v>Throughput · B43:B48</x:v>
      </x:c>
      <x:c r="B33" s="72" t="str">
        <x:v>100k work tokens/GPU-hour; 8/8/4 GPUs</x:v>
      </x:c>
      <x:c r="C33" s="72" t="str">
        <x:v>Backsolves an illustrative 3,360 GPUh; NOT an AC measured rate</x:v>
      </x:c>
      <x:c r="D33" s="72" t="str">
        <x:v>AC model+SKU-specific benchmark, cluster topology</x:v>
      </x:c>
      <x:c r="E33" s="6"/>
      <x:c r="F33" s="6" t="str">
        <x:v>Qwen3.5-397B-A17B</x:v>
      </x:c>
      <x:c r="G33" s="193" t="n">
        <x:v>397</x:v>
      </x:c>
      <x:c r="H33" s="6" t="n">
        <x:v>17</x:v>
      </x:c>
      <x:c r="I33" s="6" t="str">
        <x:v>MoE</x:v>
      </x:c>
      <x:c r="J33" s="6" t="str">
        <x:v>Family - verify</x:v>
      </x:c>
      <x:c r="K33" s="6" t="str">
        <x:v>Not listed</x:v>
      </x:c>
      <x:c r="L33" s="6" t="str">
        <x:v>Family-only</x:v>
      </x:c>
      <x:c r="M33" t="n">
        <x:v>3</x:v>
      </x:c>
      <x:c r="N33" t="str">
        <x:v>Multi-node</x:v>
      </x:c>
      <x:c r="O33" t="str">
        <x:v>https://huggingface.co/Qwen</x:v>
      </x:c>
      <x:c r="P33" t="str">
        <x:v>https://docs.appliedcompute.com/platform/training/models</x:v>
      </x:c>
      <x:c r="Q33" t="str">
        <x:v>Large model: topology/throughput must be benchmarked</x:v>
      </x:c>
    </x:row>
    <x:row r="34" ht="24" customHeight="1">
      <x:c r="A34" s="173" t="str">
        <x:v>Engineer effort/rates · B50:B61</x:v>
      </x:c>
      <x:c r="B34" s="173" t="str">
        <x:v>FDE/ML/Infra/PM hours; $150-$200/hr</x:v>
      </x:c>
      <x:c r="C34" s="173" t="str">
        <x:v>Fully burdened, directly attributable delivery cost</x:v>
      </x:c>
      <x:c r="D34" s="173" t="str">
        <x:v>Staffing plan, finance labor rates</x:v>
      </x:c>
      <x:c r="E34" s="6"/>
      <x:c r="F34" s="6" t="str">
        <x:v>Qwen3.5-9B-VL</x:v>
      </x:c>
      <x:c r="G34" s="193" t="n">
        <x:v>9</x:v>
      </x:c>
      <x:c r="H34" s="6" t="n">
        <x:v>9</x:v>
      </x:c>
      <x:c r="I34" s="6" t="str">
        <x:v>Dense</x:v>
      </x:c>
      <x:c r="J34" s="6" t="str">
        <x:v>Listed</x:v>
      </x:c>
      <x:c r="K34" s="6" t="str">
        <x:v>Not listed</x:v>
      </x:c>
      <x:c r="L34" s="6" t="str">
        <x:v>Model-named</x:v>
      </x:c>
      <x:c r="M34" t="n">
        <x:v>1</x:v>
      </x:c>
      <x:c r="N34" t="str">
        <x:v>Validate</x:v>
      </x:c>
      <x:c r="O34" t="str">
        <x:v>https://docs.appliedcompute.com/platform/training/vlm</x:v>
      </x:c>
      <x:c r="P34" t="str">
        <x:v>https://docs.appliedcompute.com/platform/training/vlm</x:v>
      </x:c>
      <x:c r="Q34" t="str">
        <x:v>Vision inputs add image/encoder cost not captured by token-only scenario</x:v>
      </x:c>
    </x:row>
    <x:row r="35" ht="24" customHeight="1">
      <x:c r="A35" s="72" t="str">
        <x:v>External costs · B62:B66</x:v>
      </x:c>
      <x:c r="B35" s="72" t="str">
        <x:v>$1.5k fixed + $1.5k/cycle; $1.5k storage; $4k support; 10% rework</x:v>
      </x:c>
      <x:c r="C35" s="72" t="str">
        <x:v>Avoids GPU-only undercount and prices uncertain rework</x:v>
      </x:c>
      <x:c r="D35" s="72" t="str">
        <x:v>Vendor API invoices, object storage, historical delivery</x:v>
      </x:c>
      <x:c r="E35" s="6"/>
      <x:c r="F35" s="6" t="str">
        <x:v>Qwen3.6-35B-A3B-VL</x:v>
      </x:c>
      <x:c r="G35" s="193" t="n">
        <x:v>35</x:v>
      </x:c>
      <x:c r="H35" s="6" t="n">
        <x:v>3</x:v>
      </x:c>
      <x:c r="I35" s="6" t="str">
        <x:v>MoE</x:v>
      </x:c>
      <x:c r="J35" s="6" t="str">
        <x:v>Listed</x:v>
      </x:c>
      <x:c r="K35" s="6" t="str">
        <x:v>Not listed</x:v>
      </x:c>
      <x:c r="L35" s="6" t="str">
        <x:v>Model-named</x:v>
      </x:c>
      <x:c r="M35" t="n">
        <x:v>2</x:v>
      </x:c>
      <x:c r="N35" t="str">
        <x:v>Validate</x:v>
      </x:c>
      <x:c r="O35" t="str">
        <x:v>https://docs.appliedcompute.com/platform/training/vlm</x:v>
      </x:c>
      <x:c r="P35" t="str">
        <x:v>https://docs.appliedcompute.com/platform/training/vlm</x:v>
      </x:c>
      <x:c r="Q35" t="str">
        <x:v>Vision workload must be separately benchmarked</x:v>
      </x:c>
    </x:row>
    <x:row r="36" ht="24" customHeight="1">
      <x:c r="A36" s="173" t="str">
        <x:v>Quote rate card · B68:B75</x:v>
      </x:c>
      <x:c r="B36" s="173" t="str">
        <x:v>$30k readiness; $78k eng; $24k/cycle; $30k handoff</x:v>
      </x:c>
      <x:c r="C36" s="173" t="str">
        <x:v>Illustrative itemized fee totaling $210k for base 3 cycles</x:v>
      </x:c>
      <x:c r="D36" s="173" t="str">
        <x:v>Approved commercial rate card + customer proposal</x:v>
      </x:c>
      <x:c r="E36" s="6"/>
      <x:c r="F36" s="6" t="str">
        <x:v>Qwen3.8-27B-VL</x:v>
      </x:c>
      <x:c r="G36" s="193" t="n">
        <x:v>27</x:v>
      </x:c>
      <x:c r="H36" s="6" t="n">
        <x:v>27</x:v>
      </x:c>
      <x:c r="I36" s="6" t="str">
        <x:v>Dense</x:v>
      </x:c>
      <x:c r="J36" s="6" t="str">
        <x:v>Listed</x:v>
      </x:c>
      <x:c r="K36" s="6" t="str">
        <x:v>Not listed</x:v>
      </x:c>
      <x:c r="L36" s="6" t="str">
        <x:v>Model-named</x:v>
      </x:c>
      <x:c r="M36" t="n">
        <x:v>2</x:v>
      </x:c>
      <x:c r="N36" t="str">
        <x:v>Validate</x:v>
      </x:c>
      <x:c r="O36" t="str">
        <x:v>https://docs.appliedcompute.com/platform/training/vlm</x:v>
      </x:c>
      <x:c r="P36" t="str">
        <x:v>https://docs.appliedcompute.com/platform/training/vlm</x:v>
      </x:c>
      <x:c r="Q36" t="str">
        <x:v>Vision workload must be separately benchmarked</x:v>
      </x:c>
    </x:row>
    <x:row r="37" ht="24" customHeight="1">
      <x:c r="A37" s="72" t="str">
        <x:v>Target margin · B76:B77</x:v>
      </x:c>
      <x:c r="B37" s="72" t="str">
        <x:v>45% target; 35% warning floor</x:v>
      </x:c>
      <x:c r="C37" s="72" t="str">
        <x:v>Explicit quote guardrail, not company-published policy</x:v>
      </x:c>
      <x:c r="D37" s="72" t="str">
        <x:v>Internal policy, win/loss and expansion economics</x:v>
      </x:c>
      <x:c r="E37" s="6"/>
      <x:c r="F37" s="6" t="str">
        <x:v>Qwen3.8-Flash-Next</x:v>
      </x:c>
      <x:c r="G37" s="193" t="n">
        <x:v>125</x:v>
      </x:c>
      <x:c r="H37" s="6" t="n">
        <x:v>6</x:v>
      </x:c>
      <x:c r="I37" s="6" t="str">
        <x:v>MoE</x:v>
      </x:c>
      <x:c r="J37" s="6" t="str">
        <x:v>Not listed</x:v>
      </x:c>
      <x:c r="K37" s="6" t="str">
        <x:v>Listed</x:v>
      </x:c>
      <x:c r="L37" s="6" t="str">
        <x:v>Model-named</x:v>
      </x:c>
      <x:c r="M37" t="n">
        <x:v>3</x:v>
      </x:c>
      <x:c r="N37" t="str">
        <x:v>Multi-node</x:v>
      </x:c>
      <x:c r="O37" t="str">
        <x:v>https://www.chels.ai/models</x:v>
      </x:c>
      <x:c r="P37" t="str">
        <x:v>https://docs.appliedcompute.com/platform/serving/models</x:v>
      </x:c>
      <x:c r="Q37" t="str">
        <x:v>Serving named, training NOT confirmed; parameters provisional secondary</x:v>
      </x:c>
    </x:row>
    <x:row r="38" ht="24" customHeight="1">
      <x:c r="A38" s="173" t="str">
        <x:v>Existing supply · B79,B109:D111</x:v>
      </x:c>
      <x:c r="B38" s="173" t="str">
        <x:v>8 compatible spare GPUs weeks 1-8</x:v>
      </x:c>
      <x:c r="C38" s="173" t="str">
        <x:v>Shows allocation economics instead of assuming all PayGo</x:v>
      </x:c>
      <x:c r="D38" s="173" t="str">
        <x:v>Actual inventory/region/expiry/other demand</x:v>
      </x:c>
      <x:c r="E38" s="6"/>
      <x:c r="F38" s="6" t="str">
        <x:v>Qwen3-4B</x:v>
      </x:c>
      <x:c r="G38" s="193" t="n">
        <x:v>4</x:v>
      </x:c>
      <x:c r="H38" s="6" t="n">
        <x:v>4</x:v>
      </x:c>
      <x:c r="I38" s="6" t="str">
        <x:v>Dense</x:v>
      </x:c>
      <x:c r="J38" s="6" t="str">
        <x:v>Research only</x:v>
      </x:c>
      <x:c r="K38" s="6" t="str">
        <x:v>Not listed</x:v>
      </x:c>
      <x:c r="L38" s="6" t="str">
        <x:v>Research-only</x:v>
      </x:c>
      <x:c r="M38" t="n">
        <x:v>1</x:v>
      </x:c>
      <x:c r="N38" t="str">
        <x:v>Validate</x:v>
      </x:c>
      <x:c r="O38" t="str">
        <x:v>https://www.appliedcompute.com/research/neural-cheat-sheets-learning-to-summarize-with-reinforcement-learning</x:v>
      </x:c>
      <x:c r="P38" t="str">
        <x:v>See primary source</x:v>
      </x:c>
      <x:c r="Q38" t="str">
        <x:v>AC research use does not establish current self-serve listing</x:v>
      </x:c>
    </x:row>
    <x:row r="39" ht="24" customHeight="1">
      <x:c r="A39" s="72" t="str">
        <x:v>Supply availability · B81</x:v>
      </x:c>
      <x:c r="B39" s="72" t="str">
        <x:v>No (unverified)</x:v>
      </x:c>
      <x:c r="C39" s="72" t="str">
        <x:v>Allows scenario calculations; not an actual quota or reservation</x:v>
      </x:c>
      <x:c r="D39" s="72" t="str">
        <x:v>Cloud provider availability confirmation</x:v>
      </x:c>
      <x:c r="E39" s="6"/>
      <x:c r="F39" s="6" t="str">
        <x:v>Qwen3-8B</x:v>
      </x:c>
      <x:c r="G39" s="193" t="n">
        <x:v>8</x:v>
      </x:c>
      <x:c r="H39" s="6" t="n">
        <x:v>8</x:v>
      </x:c>
      <x:c r="I39" s="6" t="str">
        <x:v>Dense</x:v>
      </x:c>
      <x:c r="J39" s="6" t="str">
        <x:v>Research only</x:v>
      </x:c>
      <x:c r="K39" s="6" t="str">
        <x:v>Not listed</x:v>
      </x:c>
      <x:c r="L39" s="6" t="str">
        <x:v>Research-only</x:v>
      </x:c>
      <x:c r="M39" t="n">
        <x:v>1</x:v>
      </x:c>
      <x:c r="N39" t="str">
        <x:v>Validate</x:v>
      </x:c>
      <x:c r="O39" t="str">
        <x:v>https://www.appliedcompute.com/research/staleness-in-fully-async-rl</x:v>
      </x:c>
      <x:c r="P39" t="str">
        <x:v>See primary source</x:v>
      </x:c>
      <x:c r="Q39" t="str">
        <x:v>Research only; requires availability/access check</x:v>
      </x:c>
    </x:row>
    <x:row r="40" ht="24" customHeight="1">
      <x:c r="A40" s="173" t="str">
        <x:v>GPU prices · B82:B85</x:v>
      </x:c>
      <x:c r="B40" s="173" t="str">
        <x:v>$3.99 PayGo; $2.75 extend; $2.50 reserve; 4 weeks</x:v>
      </x:c>
      <x:c r="C40" s="173" t="str">
        <x:v>Contrasts flexibility vs stranded commitment</x:v>
      </x:c>
      <x:c r="D40" s="173" t="str">
        <x:v>Provider quote; https://lambda.ai/pricing is proxy only</x:v>
      </x:c>
      <x:c r="E40" s="6"/>
      <x:c r="F40" s="6" t="str">
        <x:v>Kimi K3</x:v>
      </x:c>
      <x:c r="G40" s="193" t="n">
        <x:v>2800</x:v>
      </x:c>
      <x:c r="H40" s="6" t="n">
        <x:v>104</x:v>
      </x:c>
      <x:c r="I40" s="6" t="str">
        <x:v>MoE</x:v>
      </x:c>
      <x:c r="J40" s="6" t="str">
        <x:v>Listed</x:v>
      </x:c>
      <x:c r="K40" s="6" t="str">
        <x:v>Listed</x:v>
      </x:c>
      <x:c r="L40" s="6" t="str">
        <x:v>Model-named</x:v>
      </x:c>
      <x:c r="M40" t="n">
        <x:v>3</x:v>
      </x:c>
      <x:c r="N40" t="str">
        <x:v>B300</x:v>
      </x:c>
      <x:c r="O40" t="str">
        <x:v>https://arxiv.org/abs/2607.24653</x:v>
      </x:c>
      <x:c r="P40" t="str">
        <x:v>https://docs.appliedcompute.com/platform/training/models</x:v>
      </x:c>
      <x:c r="Q40" t="str">
        <x:v>Serving catalog requires BYO weights; AC research uses B300 multi-node</x:v>
      </x:c>
    </x:row>
    <x:row r="41" ht="24" customHeight="1">
      <x:c r="A41" s="72" t="str">
        <x:v>Allocation/opportunity · B87:B88</x:v>
      </x:c>
      <x:c r="B41" s="72" t="str">
        <x:v>$2.50 allocation; $0 opp</x:v>
      </x:c>
      <x:c r="C41" s="72" t="str">
        <x:v>Keeps accounting cost separate from scarce capacity decisions</x:v>
      </x:c>
      <x:c r="D41" s="72" t="str">
        <x:v>Finance allocation + real alternative deal contribution</x:v>
      </x:c>
      <x:c r="E41" s="6"/>
      <x:c r="F41" s="6" t="str">
        <x:v>Kimi K2.7 Code</x:v>
      </x:c>
      <x:c r="G41" s="193" t="n">
        <x:v>1000</x:v>
      </x:c>
      <x:c r="H41" s="6" t="n">
        <x:v>32</x:v>
      </x:c>
      <x:c r="I41" s="6" t="str">
        <x:v>MoE</x:v>
      </x:c>
      <x:c r="J41" s="6" t="str">
        <x:v>Listed</x:v>
      </x:c>
      <x:c r="K41" s="6" t="str">
        <x:v>Not listed</x:v>
      </x:c>
      <x:c r="L41" s="6" t="str">
        <x:v>Model-named</x:v>
      </x:c>
      <x:c r="M41" t="n">
        <x:v>3</x:v>
      </x:c>
      <x:c r="N41" t="str">
        <x:v>Multi-node</x:v>
      </x:c>
      <x:c r="O41" t="str">
        <x:v>https://www.kimi.ai/resources/kimi-k2-7-code</x:v>
      </x:c>
      <x:c r="P41" t="str">
        <x:v>https://docs.appliedcompute.com/platform/training/models</x:v>
      </x:c>
      <x:c r="Q41" t="str">
        <x:v>Large multi-node model; verify license and serving eligibility</x:v>
      </x:c>
    </x:row>
    <x:row r="42" ht="24" customHeight="1">
      <x:c r="A42" s="173" t="str">
        <x:v>Serving charges · B91:B99</x:v>
      </x:c>
      <x:c r="B42" s="173" t="str">
        <x:v>$15k min; $6k warm replica; per-token overage</x:v>
      </x:c>
      <x:c r="C42" s="173" t="str">
        <x:v>Monthly price also has a visible target-margin safeguard; not official AC rates</x:v>
      </x:c>
      <x:c r="D42" s="173" t="str">
        <x:v>Load tests, infra billing, SLA and commercial approval</x:v>
      </x:c>
      <x:c r="E42" s="6"/>
      <x:c r="F42" s="6" t="str">
        <x:v>Kimi K2.6</x:v>
      </x:c>
      <x:c r="G42" s="193"/>
      <x:c r="H42" s="6"/>
      <x:c r="I42" s="6" t="str">
        <x:v>MoE</x:v>
      </x:c>
      <x:c r="J42" s="6" t="str">
        <x:v>Listed</x:v>
      </x:c>
      <x:c r="K42" s="6" t="str">
        <x:v>Not listed</x:v>
      </x:c>
      <x:c r="L42" s="6" t="str">
        <x:v>Model-named</x:v>
      </x:c>
      <x:c r="M42" t="n">
        <x:v>3</x:v>
      </x:c>
      <x:c r="N42" t="str">
        <x:v>Multi-node</x:v>
      </x:c>
      <x:c r="O42" t="str">
        <x:v>https://docs.appliedcompute.com/platform/training/models</x:v>
      </x:c>
      <x:c r="P42" t="str">
        <x:v>https://docs.appliedcompute.com/platform/training/models</x:v>
      </x:c>
      <x:c r="Q42" t="str">
        <x:v>Precise weights/active count unverified in supplied material</x:v>
      </x:c>
    </x:row>
    <x:row r="43" ht="24" customHeight="1">
      <x:c r="A43" s="72" t="str">
        <x:v>Existing pool compatibility · F109:F111</x:v>
      </x:c>
      <x:c r="B43" s="72" t="str">
        <x:v>Compatible</x:v>
      </x:c>
      <x:c r="C43" s="72" t="str">
        <x:v>Only models qualified capacity; no mixed/incompatible clusters</x:v>
      </x:c>
      <x:c r="D43" s="72" t="str">
        <x:v>SKU, interconnect, region, security verification</x:v>
      </x:c>
      <x:c r="E43" s="6"/>
      <x:c r="F43" s="6" t="str">
        <x:v>GLM-5.3</x:v>
      </x:c>
      <x:c r="G43" s="193" t="n">
        <x:v>744</x:v>
      </x:c>
      <x:c r="H43" s="6" t="n">
        <x:v>40</x:v>
      </x:c>
      <x:c r="I43" s="6" t="str">
        <x:v>MoE</x:v>
      </x:c>
      <x:c r="J43" s="6" t="str">
        <x:v>Listed</x:v>
      </x:c>
      <x:c r="K43" s="6" t="str">
        <x:v>Listed</x:v>
      </x:c>
      <x:c r="L43" s="6" t="str">
        <x:v>Model-named</x:v>
      </x:c>
      <x:c r="M43" t="n">
        <x:v>3</x:v>
      </x:c>
      <x:c r="N43" t="str">
        <x:v>Multi-node</x:v>
      </x:c>
      <x:c r="O43" t="str">
        <x:v>https://rohitghumare.com/guides/glm-5-3/</x:v>
      </x:c>
      <x:c r="P43" t="str">
        <x:v>https://docs.appliedcompute.com/platform/training/models</x:v>
      </x:c>
      <x:c r="Q43" t="str">
        <x:v>Verify Z.ai first-party card before binding quote</x:v>
      </x:c>
    </x:row>
    <x:row r="44" ht="24" customHeight="1">
      <x:c r="A44" s="6" t="str">
        <x:v>Model + hardware qualification</x:v>
      </x:c>
      <x:c r="B44" s="6" t="str">
        <x:v>B7 model; B8 auto params; B101:B103 approval gates; G109:G111 actual GPU family</x:v>
      </x:c>
      <x:c r="C44" s="6" t="str">
        <x:v>Avoid pricing giant MoE/vision models as 32B dense hardware. No unverified quote can be READY.</x:v>
      </x:c>
      <x:c r="D44" s="6" t="str">
        <x:v>Require live AC2 access, license review, actual GPU topology and workload benchmarks.</x:v>
      </x:c>
      <x:c r="E44" s="6"/>
      <x:c r="F44" s="6" t="str">
        <x:v>GLM-5.2</x:v>
      </x:c>
      <x:c r="G44" s="193" t="n">
        <x:v>744</x:v>
      </x:c>
      <x:c r="H44" s="6" t="n">
        <x:v>40</x:v>
      </x:c>
      <x:c r="I44" s="6" t="str">
        <x:v>MoE</x:v>
      </x:c>
      <x:c r="J44" s="6" t="str">
        <x:v>Listed</x:v>
      </x:c>
      <x:c r="K44" s="6" t="str">
        <x:v>Not listed</x:v>
      </x:c>
      <x:c r="L44" s="6" t="str">
        <x:v>Model-named</x:v>
      </x:c>
      <x:c r="M44" t="n">
        <x:v>3</x:v>
      </x:c>
      <x:c r="N44" t="str">
        <x:v>Multi-node</x:v>
      </x:c>
      <x:c r="O44" t="str">
        <x:v>https://www.chels.ai/models</x:v>
      </x:c>
      <x:c r="P44" t="str">
        <x:v>https://docs.appliedcompute.com/platform/training/models</x:v>
      </x:c>
      <x:c r="Q44" t="str">
        <x:v>Parameter count secondary; confirm model card</x:v>
      </x:c>
    </x:row>
    <x:row r="45" ht="24" customHeight="1">
      <x:c r="A45" s="6"/>
      <x:c r="B45" s="6"/>
      <x:c r="C45" s="6"/>
      <x:c r="D45" s="6"/>
      <x:c r="E45" s="6"/>
      <x:c r="F45" s="6" t="str">
        <x:v>GLM-5.3-Flash</x:v>
      </x:c>
      <x:c r="G45" s="193"/>
      <x:c r="H45" s="6"/>
      <x:c r="I45" s="6" t="str">
        <x:v>Unknown</x:v>
      </x:c>
      <x:c r="J45" s="6" t="str">
        <x:v>Not listed</x:v>
      </x:c>
      <x:c r="K45" s="6" t="str">
        <x:v>Listed</x:v>
      </x:c>
      <x:c r="L45" s="6" t="str">
        <x:v>Model-named</x:v>
      </x:c>
      <x:c r="M45" t="n">
        <x:v>3</x:v>
      </x:c>
      <x:c r="N45" t="str">
        <x:v>Validate</x:v>
      </x:c>
      <x:c r="O45" t="str">
        <x:v>https://docs.appliedcompute.com/platform/serving/models</x:v>
      </x:c>
      <x:c r="P45" t="str">
        <x:v>https://docs.appliedcompute.com/platform/serving/models</x:v>
      </x:c>
      <x:c r="Q45" t="str">
        <x:v>No reliable parameter count in supplied KB; do not fill with guess</x:v>
      </x:c>
    </x:row>
    <x:row r="46" ht="24" customHeight="1">
      <x:c r="A46" s="21" t="str">
        <x:v>WHAT THIS MVP DOES NOT AUTOMATE (IMPORTANT)</x:v>
      </x:c>
      <x:c r="B46" s="21"/>
      <x:c r="C46" s="21"/>
      <x:c r="D46" s="21"/>
      <x:c r="E46" s="6"/>
      <x:c r="F46" s="6" t="str">
        <x:v>GLM-5.3-Flash-VL</x:v>
      </x:c>
      <x:c r="G46" s="193"/>
      <x:c r="H46" s="6"/>
      <x:c r="I46" s="6" t="str">
        <x:v>Unknown</x:v>
      </x:c>
      <x:c r="J46" s="6" t="str">
        <x:v>Listed</x:v>
      </x:c>
      <x:c r="K46" s="6" t="str">
        <x:v>Not listed</x:v>
      </x:c>
      <x:c r="L46" s="6" t="str">
        <x:v>Model-named</x:v>
      </x:c>
      <x:c r="M46" t="n">
        <x:v>3</x:v>
      </x:c>
      <x:c r="N46" t="str">
        <x:v>Validate</x:v>
      </x:c>
      <x:c r="O46" t="str">
        <x:v>https://docs.appliedcompute.com/platform/training/vlm</x:v>
      </x:c>
      <x:c r="P46" t="str">
        <x:v>https://docs.appliedcompute.com/platform/training/vlm</x:v>
      </x:c>
      <x:c r="Q46" t="str">
        <x:v>Vision throughput and weights require explicit benchmark</x:v>
      </x:c>
    </x:row>
    <x:row r="47" ht="24" customHeight="1">
      <x:c r="A47" s="72" t="str">
        <x:v>Model catalog coverage</x:v>
      </x:c>
      <x:c r="B47" s="72" t="str">
        <x:v>30 documented examples; live AC2 catalog is NOT exhaustively verified</x:v>
      </x:c>
      <x:c r="C47" s="72" t="str">
        <x:v>Training and serving lists differ; family names and research examples aren't confirmed product access.</x:v>
      </x:c>
      <x:c r="D47" s="72" t="str">
        <x:v>Reconcile guide F:Q with live AC2 catalog and customer license before quoting.</x:v>
      </x:c>
      <x:c r="E47" s="6"/>
      <x:c r="F47" s="6" t="str">
        <x:v>GLM-5.1</x:v>
      </x:c>
      <x:c r="G47" s="193"/>
      <x:c r="H47" s="6"/>
      <x:c r="I47" s="6" t="str">
        <x:v>Unknown</x:v>
      </x:c>
      <x:c r="J47" s="6" t="str">
        <x:v>Research only</x:v>
      </x:c>
      <x:c r="K47" s="6" t="str">
        <x:v>Not listed</x:v>
      </x:c>
      <x:c r="L47" s="6" t="str">
        <x:v>Research-only</x:v>
      </x:c>
      <x:c r="M47" t="n">
        <x:v>3</x:v>
      </x:c>
      <x:c r="N47" t="str">
        <x:v>Validate</x:v>
      </x:c>
      <x:c r="O47" t="str">
        <x:v>https://www.appliedcompute.com/case-studies/harvey</x:v>
      </x:c>
      <x:c r="P47" t="str">
        <x:v>See primary source</x:v>
      </x:c>
      <x:c r="Q47" t="str">
        <x:v>Harvey case study, not verified current catalog entry</x:v>
      </x:c>
    </x:row>
    <x:row r="48" ht="24" customHeight="1">
      <x:c r="A48" s="72" t="str">
        <x:v>Parameter interpretation</x:v>
      </x:c>
      <x:c r="B48" s="72" t="str">
        <x:v>Total B != active B != throughput; MoE and VLM need special care</x:v>
      </x:c>
      <x:c r="C48" s="72" t="str">
        <x:v>Total B approximates weight storage; active B affects per-token ops; neither guarantees training GPU cost.</x:v>
      </x:c>
      <x:c r="D48" s="72" t="str">
        <x:v>Model supplier cards for parameters, AC2 benchmark for costs, validated GPU topology.</x:v>
      </x:c>
      <x:c r="E48" s="6"/>
      <x:c r="F48" s="6" t="str">
        <x:v>Nemotron 3 Ultra</x:v>
      </x:c>
      <x:c r="G48" s="193" t="n">
        <x:v>550</x:v>
      </x:c>
      <x:c r="H48" s="6" t="n">
        <x:v>55</x:v>
      </x:c>
      <x:c r="I48" s="6" t="str">
        <x:v>MoE</x:v>
      </x:c>
      <x:c r="J48" s="6" t="str">
        <x:v>Listed</x:v>
      </x:c>
      <x:c r="K48" s="6" t="str">
        <x:v>Listed</x:v>
      </x:c>
      <x:c r="L48" s="6" t="str">
        <x:v>Model-named</x:v>
      </x:c>
      <x:c r="M48" t="n">
        <x:v>3</x:v>
      </x:c>
      <x:c r="N48" t="str">
        <x:v>Multi-node</x:v>
      </x:c>
      <x:c r="O48" t="str">
        <x:v>https://github.com/NVIDIA-NeMo/Nemotron/blob/main/usage-cookbook/Nemotron-3-Ultra-Base/README.md</x:v>
      </x:c>
      <x:c r="P48" t="str">
        <x:v>https://docs.appliedcompute.com/platform/training/models</x:v>
      </x:c>
      <x:c r="Q48" t="str">
        <x:v>Large model; topology, support, and licensing review</x:v>
      </x:c>
    </x:row>
    <x:row r="49" ht="24" customHeight="1">
      <x:c r="A49" s="72" t="str">
        <x:v>Model pricing proxies</x:v>
      </x:c>
      <x:c r="B49" s="72" t="str">
        <x:v>Planning class 1/2/3 with 2.5x/1x/0.5x throughput</x:v>
      </x:c>
      <x:c r="C49" s="72" t="str">
        <x:v>Unverified demo scenario only; not derived from true MoE FLOPs, activation memory, or GPU kernel efficiency.</x:v>
      </x:c>
      <x:c r="D49" s="72" t="str">
        <x:v>Block deal approval until B101/B102/B104 and GPU family B103 reviewed.</x:v>
      </x:c>
      <x:c r="E49" s="6"/>
      <x:c r="F49" s="6" t="str">
        <x:v>Nemotron 3.5 Lightning</x:v>
      </x:c>
      <x:c r="G49" s="193" t="n">
        <x:v>30</x:v>
      </x:c>
      <x:c r="H49" s="6" t="n">
        <x:v>3</x:v>
      </x:c>
      <x:c r="I49" s="6" t="str">
        <x:v>MoE</x:v>
      </x:c>
      <x:c r="J49" s="6" t="str">
        <x:v>Not listed</x:v>
      </x:c>
      <x:c r="K49" s="6" t="str">
        <x:v>Listed</x:v>
      </x:c>
      <x:c r="L49" s="6" t="str">
        <x:v>Model-named</x:v>
      </x:c>
      <x:c r="M49" t="n">
        <x:v>2</x:v>
      </x:c>
      <x:c r="N49" t="str">
        <x:v>Validate</x:v>
      </x:c>
      <x:c r="O49" t="str">
        <x:v>https://github.com/NVIDIA-NeMo/Nemotron/blob/main/docs/nemotron/lightning35/README.md</x:v>
      </x:c>
      <x:c r="P49" t="str">
        <x:v>https://docs.appliedcompute.com/platform/serving/models</x:v>
      </x:c>
      <x:c r="Q49" t="str">
        <x:v>Serving only in the KB snapshot</x:v>
      </x:c>
    </x:row>
    <x:row r="50" ht="24" customHeight="1">
      <x:c r="A50" s="72" t="str">
        <x:v>Capacity by GPU SKU</x:v>
      </x:c>
      <x:c r="B50" s="72" t="str">
        <x:v>Pool G109:G111 must match planned GPU type B103</x:v>
      </x:c>
      <x:c r="C50" s="72" t="str">
        <x:v>Old workbook counted any manually compatible pool; now checks region/fit and GPU family.</x:v>
      </x:c>
      <x:c r="D50" s="72" t="str">
        <x:v>Check topology/interconnect and provider quota; week-level counts still approximate.</x:v>
      </x:c>
      <x:c r="E50" s="6"/>
      <x:c r="F50" s="6" t="str">
        <x:v>Nemotron 3 Super</x:v>
      </x:c>
      <x:c r="G50" s="193"/>
      <x:c r="H50" s="6"/>
      <x:c r="I50" s="6" t="str">
        <x:v>Unknown</x:v>
      </x:c>
      <x:c r="J50" s="6" t="str">
        <x:v>Not listed</x:v>
      </x:c>
      <x:c r="K50" s="6" t="str">
        <x:v>Legacy mention</x:v>
      </x:c>
      <x:c r="L50" s="6" t="str">
        <x:v>Legacy-only</x:v>
      </x:c>
      <x:c r="M50" t="n">
        <x:v>3</x:v>
      </x:c>
      <x:c r="N50" t="str">
        <x:v>Validate</x:v>
      </x:c>
      <x:c r="O50" t="str">
        <x:v>https://www.appliedcompute.com/old-home</x:v>
      </x:c>
      <x:c r="P50" t="str">
        <x:v>See primary source</x:v>
      </x:c>
      <x:c r="Q50" t="str">
        <x:v>Mentioned in older homepage only; not in current list</x:v>
      </x:c>
    </x:row>
    <x:row r="51" ht="24" customHeight="1">
      <x:c r="A51" s="72" t="str">
        <x:v>Production model availability</x:v>
      </x:c>
      <x:c r="B51" s="72" t="str">
        <x:v>Serving option only when selected model listed, benchmarked</x:v>
      </x:c>
      <x:c r="C51" s="72" t="str">
        <x:v>Some named models have serving-only support; AC2 training catalog differs.</x:v>
      </x:c>
      <x:c r="D51" s="72" t="str">
        <x:v>Separate serving order, validated load test and SLO commitment.</x:v>
      </x:c>
      <x:c r="E51" s="6"/>
      <x:c r="F51" s="6" t="str">
        <x:v>MiniMax M2.7</x:v>
      </x:c>
      <x:c r="G51" s="193" t="n">
        <x:v>230</x:v>
      </x:c>
      <x:c r="H51" s="6" t="n">
        <x:v>10</x:v>
      </x:c>
      <x:c r="I51" s="6" t="str">
        <x:v>MoE</x:v>
      </x:c>
      <x:c r="J51" s="6" t="str">
        <x:v>Listed</x:v>
      </x:c>
      <x:c r="K51" s="6" t="str">
        <x:v>Not listed</x:v>
      </x:c>
      <x:c r="L51" s="6" t="str">
        <x:v>Model-named</x:v>
      </x:c>
      <x:c r="M51" t="n">
        <x:v>3</x:v>
      </x:c>
      <x:c r="N51" t="str">
        <x:v>Multi-node</x:v>
      </x:c>
      <x:c r="O51" t="str">
        <x:v>https://github.com/vllm-project/recipes/blob/main/models/MiniMaxAI/MiniMax-M2.7.yaml</x:v>
      </x:c>
      <x:c r="P51" t="str">
        <x:v>https://docs.appliedcompute.com/platform/training/models</x:v>
      </x:c>
      <x:c r="Q51" t="str">
        <x:v>Supplier serving hardware may not match training</x:v>
      </x:c>
    </x:row>
    <x:row r="52" ht="24" customHeight="1">
      <x:c r="A52" s="6"/>
      <x:c r="B52" s="6"/>
      <x:c r="C52" s="6"/>
      <x:c r="D52" s="6"/>
      <x:c r="E52" s="6"/>
      <x:c r="F52" s="6" t="str">
        <x:v>DeepSeek-V4.1-Flash</x:v>
      </x:c>
      <x:c r="G52" s="193" t="n">
        <x:v>552</x:v>
      </x:c>
      <x:c r="H52" s="6" t="str">
        <x:v>8 in / 16 out</x:v>
      </x:c>
      <x:c r="I52" s="6" t="str">
        <x:v>MoE</x:v>
      </x:c>
      <x:c r="J52" s="6" t="str">
        <x:v>Not listed</x:v>
      </x:c>
      <x:c r="K52" s="6" t="str">
        <x:v>Listed</x:v>
      </x:c>
      <x:c r="L52" s="6" t="str">
        <x:v>Model-named</x:v>
      </x:c>
      <x:c r="M52" t="n">
        <x:v>3</x:v>
      </x:c>
      <x:c r="N52" t="str">
        <x:v>Multi-node</x:v>
      </x:c>
      <x:c r="O52" t="str">
        <x:v>https://deepseek.com/en/news/deepseek-v4-1-flash/</x:v>
      </x:c>
      <x:c r="P52" t="str">
        <x:v>https://docs.appliedcompute.com/platform/serving/models</x:v>
      </x:c>
      <x:c r="Q52" t="str">
        <x:v>Input/output activate different parameter counts</x:v>
      </x:c>
    </x:row>
    <x:row r="53" ht="24" customHeight="1">
      <x:c r="A53" s="6"/>
      <x:c r="B53" s="6"/>
      <x:c r="C53" s="6"/>
      <x:c r="D53" s="6"/>
      <x:c r="E53" s="6"/>
      <x:c r="F53" s="6" t="str">
        <x:v>GPT-OSS 120B</x:v>
      </x:c>
      <x:c r="G53" s="193" t="n">
        <x:v>116.8</x:v>
      </x:c>
      <x:c r="H53" s="6" t="n">
        <x:v>5.1</x:v>
      </x:c>
      <x:c r="I53" s="6" t="str">
        <x:v>MoE</x:v>
      </x:c>
      <x:c r="J53" s="6" t="str">
        <x:v>Not listed</x:v>
      </x:c>
      <x:c r="K53" s="6" t="str">
        <x:v>Listed</x:v>
      </x:c>
      <x:c r="L53" s="6" t="str">
        <x:v>Model-named</x:v>
      </x:c>
      <x:c r="M53" t="n">
        <x:v>3</x:v>
      </x:c>
      <x:c r="N53" t="str">
        <x:v>Validate</x:v>
      </x:c>
      <x:c r="O53" t="str">
        <x:v>https://openai.com/index/introducing-gpt-oss/</x:v>
      </x:c>
      <x:c r="P53" t="str">
        <x:v>https://docs.appliedcompute.com/platform/serving/models</x:v>
      </x:c>
      <x:c r="Q53" t="str">
        <x:v>Inference support documented; RL training not documented</x:v>
      </x:c>
    </x:row>
    <x:row r="54" ht="24" customHeight="1">
      <x:c r="A54" s="213" t="str">
        <x:v>DROPDOWN INPUTS  |  CHOOSE PREDEFINED OPTIONS</x:v>
      </x:c>
      <x:c r="B54" s="213"/>
      <x:c r="C54" s="213"/>
      <x:c r="D54" s="213"/>
      <x:c r="E54" s="6"/>
      <x:c r="F54" s="6" t="str">
        <x:v>pplx-decider-v1-27b</x:v>
      </x:c>
      <x:c r="G54" s="193" t="n">
        <x:v>27</x:v>
      </x:c>
      <x:c r="H54" s="6"/>
      <x:c r="I54" s="6" t="str">
        <x:v>Decision head</x:v>
      </x:c>
      <x:c r="J54" s="6" t="str">
        <x:v>Access required</x:v>
      </x:c>
      <x:c r="K54" s="6" t="str">
        <x:v>Not listed</x:v>
      </x:c>
      <x:c r="L54" s="6" t="str">
        <x:v>Access-gated</x:v>
      </x:c>
      <x:c r="M54" t="n">
        <x:v>2</x:v>
      </x:c>
      <x:c r="N54" t="str">
        <x:v>Validate</x:v>
      </x:c>
      <x:c r="O54" t="str">
        <x:v>https://docs.appliedcompute.com/platform/training/decisions</x:v>
      </x:c>
      <x:c r="P54" t="str">
        <x:v>https://docs.appliedcompute.com/platform/training/models</x:v>
      </x:c>
      <x:c r="Q54" t="str">
        <x:v>Decision model training requires AC access</x:v>
      </x:c>
    </x:row>
    <x:row r="55" ht="32" customHeight="1">
      <x:c r="A55" s="72" t="str">
        <x:v>Training method · B9</x:v>
      </x:c>
      <x:c r="B55" s="72" t="str">
        <x:v>GRPO / SFT / OPSD / RMSD / Decision / Custom</x:v>
      </x:c>
      <x:c r="C55" s="72" t="str">
        <x:v>Only GRPO has current cost logic; other choices HOLD the quote.</x:v>
      </x:c>
      <x:c r="D55" s="72" t="str">
        <x:v>Confirm method-specific capacity and price before approval.</x:v>
      </x:c>
      <x:c r="E55" s="6"/>
      <x:c r="F55" s="6" t="str">
        <x:v>Other open-weight model (qualify)</x:v>
      </x:c>
      <x:c r="G55" s="193"/>
      <x:c r="H55" s="6"/>
      <x:c r="I55" s="6" t="str">
        <x:v>Unknown</x:v>
      </x:c>
      <x:c r="J55" s="6" t="str">
        <x:v>Not listed</x:v>
      </x:c>
      <x:c r="K55" s="6" t="str">
        <x:v>Not listed</x:v>
      </x:c>
      <x:c r="L55" s="6" t="str">
        <x:v>Custom / unverified</x:v>
      </x:c>
      <x:c r="M55" t="n">
        <x:v>3</x:v>
      </x:c>
      <x:c r="N55" t="str">
        <x:v>Validate</x:v>
      </x:c>
      <x:c r="O55" t="str">
        <x:v>https://docs.appliedcompute.com/platform/training/configuration</x:v>
      </x:c>
      <x:c r="P55" t="str">
        <x:v>See primary source</x:v>
      </x:c>
      <x:c r="Q55" t="str">
        <x:v>May be viable via BYO weights, but no implied support or price</x:v>
      </x:c>
    </x:row>
    <x:row r="56" ht="32" customHeight="1">
      <x:c r="A56" s="72" t="str">
        <x:v>Eval metric · B15</x:v>
      </x:c>
      <x:c r="B56" s="72" t="str">
        <x:v>Five normalized score types (higher = better)</x:v>
      </x:c>
      <x:c r="C56" s="72" t="str">
        <x:v>Stop logic still compares actual scores to target and plateau.</x:v>
      </x:c>
      <x:c r="D56" s="72" t="str">
        <x:v>For latency, loss, or cost metrics, redesign stop logic.</x:v>
      </x:c>
      <x:c r="E56" s="6"/>
      <x:c r="F56" s="6"/>
      <x:c r="G56" s="6"/>
      <x:c r="H56" s="6"/>
      <x:c r="I56" s="6"/>
      <x:c r="J56" s="6"/>
      <x:c r="K56" s="6"/>
      <x:c r="L56" s="6"/>
    </x:row>
    <x:row r="57" ht="32" customHeight="1">
      <x:c r="A57" s="72" t="str">
        <x:v>Data readiness · B33</x:v>
      </x:c>
      <x:c r="B57" s="72" t="str">
        <x:v>Validated / due kickoff / pending / unavailable</x:v>
      </x:c>
      <x:c r="C57" s="72" t="str">
        <x:v>Pending or unavailable prevents customer-ready approval.</x:v>
      </x:c>
      <x:c r="D57" s="72" t="str">
        <x:v>Confirm customer evidence and data-access date.</x:v>
      </x:c>
      <x:c r="E57" s="6"/>
      <x:c r="F57" s="6"/>
      <x:c r="G57" s="6"/>
      <x:c r="H57" s="6"/>
      <x:c r="I57" s="6"/>
      <x:c r="J57" s="6"/>
      <x:c r="K57" s="6"/>
      <x:c r="L57" s="6"/>
    </x:row>
    <x:row r="58" ht="32" customHeight="1">
      <x:c r="A58" s="72" t="str">
        <x:v>GPU pool fit · F109:F111</x:v>
      </x:c>
      <x:c r="B58" s="72" t="str">
        <x:v>Compatible / needs verification / incompatible</x:v>
      </x:c>
      <x:c r="C58" s="72" t="str">
        <x:v>Only Compatible pools count toward existing capacity.</x:v>
      </x:c>
      <x:c r="D58" s="72" t="str">
        <x:v>Validate GPU family, interconnect, region and permissions.</x:v>
      </x:c>
      <x:c r="E58" s="6"/>
      <x:c r="F58" s="6"/>
      <x:c r="G58" s="6"/>
      <x:c r="H58" s="6"/>
      <x:c r="I58" s="6"/>
      <x:c r="J58" s="6"/>
      <x:c r="K58" s="6"/>
      <x:c r="L58" s="6"/>
    </x:row>
    <x:row r="59" ht="20" customHeight="1">
      <x:c r="A59" s="6"/>
      <x:c r="B59" s="6"/>
      <x:c r="C59" s="6"/>
      <x:c r="D59" s="6"/>
      <x:c r="E59" s="6"/>
      <x:c r="F59" s="6"/>
      <x:c r="G59" s="6"/>
      <x:c r="H59" s="6"/>
      <x:c r="I59" s="6"/>
      <x:c r="J59" s="6"/>
      <x:c r="K59" s="6"/>
      <x:c r="L59" s="6"/>
    </x:row>
    <x:row r="60" ht="20" customHeight="1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</x:row>
    <x:row r="61" ht="20" customHeight="1">
      <x:c r="A61" s="6"/>
      <x:c r="B61" s="6"/>
      <x:c r="C61" s="6"/>
      <x:c r="D61" s="6"/>
      <x:c r="E61" s="6"/>
      <x:c r="F61" s="6"/>
      <x:c r="G61" s="6"/>
      <x:c r="H61" s="6"/>
      <x:c r="I61" s="6"/>
      <x:c r="J61" s="6"/>
      <x:c r="K61" s="6"/>
      <x:c r="L61" s="6"/>
    </x:row>
    <x:row r="62" ht="20" customHeight="1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</x:row>
    <x:row r="63" ht="20" customHeight="1">
      <x:c r="A63" s="6"/>
      <x:c r="B63" s="6"/>
      <x:c r="C63" s="6"/>
      <x:c r="D63" s="6"/>
      <x:c r="E63" s="6"/>
      <x:c r="F63" s="6"/>
      <x:c r="G63" s="6"/>
      <x:c r="H63" s="6"/>
      <x:c r="I63" s="6"/>
      <x:c r="J63" s="6"/>
      <x:c r="K63" s="6"/>
      <x:c r="L63" s="6"/>
    </x:row>
    <x:row r="64" ht="20" customHeight="1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</x:row>
    <x:row r="65" ht="20" customHeight="1">
      <x:c r="A65" s="6"/>
      <x:c r="B65" s="6"/>
      <x:c r="C65" s="6"/>
      <x:c r="D65" s="6"/>
      <x:c r="E65" s="6"/>
      <x:c r="F65" s="6"/>
      <x:c r="G65" s="6"/>
      <x:c r="H65" s="6"/>
      <x:c r="I65" s="6"/>
      <x:c r="J65" s="6"/>
      <x:c r="K65" s="6"/>
      <x:c r="L65" s="6"/>
    </x:row>
    <x:row r="66" ht="20" customHeight="1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</x:row>
    <x:row r="67" ht="20" customHeight="1">
      <x:c r="A67" s="6"/>
      <x:c r="B67" s="6"/>
      <x:c r="C67" s="6"/>
      <x:c r="D67" s="6"/>
      <x:c r="E67" s="6"/>
      <x:c r="F67" s="6"/>
      <x:c r="G67" s="6"/>
      <x:c r="H67" s="6"/>
      <x:c r="I67" s="6"/>
      <x:c r="J67" s="6"/>
      <x:c r="K67" s="6"/>
      <x:c r="L67" s="6"/>
    </x:row>
    <x:row r="68" ht="20" customHeight="1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</x:row>
    <x:row r="69" ht="20" customHeight="1">
      <x:c r="A69" s="6"/>
      <x:c r="B69" s="6"/>
      <x:c r="C69" s="6"/>
      <x:c r="D69" s="6"/>
      <x:c r="E69" s="6"/>
      <x:c r="F69" s="6"/>
      <x:c r="G69" s="6"/>
      <x:c r="H69" s="6"/>
      <x:c r="I69" s="6"/>
      <x:c r="J69" s="6"/>
      <x:c r="K69" s="6"/>
      <x:c r="L69" s="6"/>
    </x:row>
    <x:row r="70" ht="20" customHeight="1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</x:row>
    <x:row r="71" ht="20" customHeight="1">
      <x:c r="A71" s="6"/>
      <x:c r="B71" s="6"/>
      <x:c r="C71" s="6"/>
      <x:c r="D71" s="6"/>
      <x:c r="E71" s="6"/>
      <x:c r="F71" s="6"/>
      <x:c r="G71" s="6"/>
      <x:c r="H71" s="6"/>
      <x:c r="I71" s="6"/>
      <x:c r="J71" s="6"/>
      <x:c r="K71" s="6"/>
      <x:c r="L71" s="6"/>
    </x:row>
    <x:row r="72" ht="20" customHeight="1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</x:row>
    <x:row r="73" ht="20" customHeight="1">
      <x:c r="A73" s="6"/>
      <x:c r="B73" s="6"/>
      <x:c r="C73" s="6"/>
      <x:c r="D73" s="6"/>
      <x:c r="E73" s="6"/>
      <x:c r="F73" s="6"/>
      <x:c r="G73" s="6"/>
      <x:c r="H73" s="6"/>
      <x:c r="I73" s="6"/>
      <x:c r="J73" s="6"/>
      <x:c r="K73" s="6"/>
      <x:c r="L73" s="6"/>
    </x:row>
    <x:row r="74" ht="20" customHeight="1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</x:row>
    <x:row r="75" ht="20" customHeight="1">
      <x:c r="A75" s="6"/>
      <x:c r="B75" s="6"/>
      <x:c r="C75" s="6"/>
      <x:c r="D75" s="6"/>
      <x:c r="E75" s="6"/>
      <x:c r="F75" s="6"/>
      <x:c r="G75" s="6"/>
      <x:c r="H75" s="6"/>
      <x:c r="I75" s="6"/>
      <x:c r="J75" s="6"/>
      <x:c r="K75" s="6"/>
      <x:c r="L75" s="6"/>
    </x:row>
    <x:row r="76" ht="20" customHeight="1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</x:row>
    <x:row r="77" ht="20" customHeight="1">
      <x:c r="A77" s="6"/>
      <x:c r="B77" s="6"/>
      <x:c r="C77" s="6"/>
      <x:c r="D77" s="6"/>
      <x:c r="E77" s="6"/>
      <x:c r="F77" s="6"/>
      <x:c r="G77" s="6"/>
      <x:c r="H77" s="6"/>
      <x:c r="I77" s="6"/>
      <x:c r="J77" s="6"/>
      <x:c r="K77" s="6"/>
      <x:c r="L77" s="6"/>
    </x:row>
    <x:row r="78" ht="20" customHeight="1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</x:row>
    <x:row r="79" ht="20" customHeight="1">
      <x:c r="A79" s="6"/>
      <x:c r="B79" s="6"/>
      <x:c r="C79" s="6"/>
      <x:c r="D79" s="6"/>
      <x:c r="E79" s="6"/>
      <x:c r="F79" s="6"/>
      <x:c r="G79" s="6"/>
      <x:c r="H79" s="6"/>
      <x:c r="I79" s="6"/>
      <x:c r="J79" s="6"/>
      <x:c r="K79" s="6"/>
      <x:c r="L79" s="6"/>
    </x:row>
    <x:row r="80" ht="20" customHeight="1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</x:row>
    <x:row r="81" ht="20" customHeight="1">
      <x:c r="A81" s="6"/>
      <x:c r="B81" s="6"/>
      <x:c r="C81" s="6"/>
      <x:c r="D81" s="6"/>
      <x:c r="E81" s="6"/>
      <x:c r="F81" s="6"/>
      <x:c r="G81" s="6"/>
      <x:c r="H81" s="6"/>
      <x:c r="I81" s="6"/>
      <x:c r="J81" s="6"/>
      <x:c r="K81" s="6"/>
      <x:c r="L81" s="6"/>
    </x:row>
    <x:row r="82" ht="20" customHeight="1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</x:row>
    <x:row r="83" ht="20" customHeight="1">
      <x:c r="A83" s="6"/>
      <x:c r="B83" s="6"/>
      <x:c r="C83" s="6"/>
      <x:c r="D83" s="6"/>
      <x:c r="E83" s="6"/>
      <x:c r="F83" s="6"/>
      <x:c r="G83" s="6"/>
      <x:c r="H83" s="6"/>
      <x:c r="I83" s="6"/>
      <x:c r="J83" s="6"/>
      <x:c r="K83" s="6"/>
      <x:c r="L83" s="6"/>
    </x:row>
    <x:row r="84" ht="20" customHeight="1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</x:row>
    <x:row r="85" ht="20" customHeight="1">
      <x:c r="A85" s="6"/>
      <x:c r="B85" s="6"/>
      <x:c r="C85" s="6"/>
      <x:c r="D85" s="6"/>
      <x:c r="E85" s="6"/>
      <x:c r="F85" s="6"/>
      <x:c r="G85" s="6"/>
      <x:c r="H85" s="6"/>
      <x:c r="I85" s="6"/>
      <x:c r="J85" s="6"/>
      <x:c r="K85" s="6"/>
      <x:c r="L85" s="6"/>
    </x:row>
    <x:row r="86" ht="20" customHeight="1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</x:row>
    <x:row r="87" ht="20" customHeight="1">
      <x:c r="A87" s="6"/>
      <x:c r="B87" s="6"/>
      <x:c r="C87" s="6"/>
      <x:c r="D87" s="6"/>
      <x:c r="E87" s="6"/>
      <x:c r="F87" s="6"/>
      <x:c r="G87" s="6"/>
      <x:c r="H87" s="6"/>
      <x:c r="I87" s="6"/>
      <x:c r="J87" s="6"/>
      <x:c r="K87" s="6"/>
      <x:c r="L87" s="6"/>
    </x:row>
    <x:row r="88" ht="20" customHeight="1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</x:row>
    <x:row r="89" ht="20" customHeight="1">
      <x:c r="A89" s="6"/>
      <x:c r="B89" s="6"/>
      <x:c r="C89" s="6"/>
      <x:c r="D89" s="6"/>
      <x:c r="E89" s="6"/>
      <x:c r="F89" s="6"/>
      <x:c r="G89" s="6"/>
      <x:c r="H89" s="6"/>
      <x:c r="I89" s="6"/>
      <x:c r="J89" s="6"/>
      <x:c r="K89" s="6"/>
      <x:c r="L89" s="6"/>
    </x:row>
    <x:row r="90" ht="20" customHeight="1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</x:row>
    <x:row r="91" ht="20" customHeight="1">
      <x:c r="A91" s="6"/>
      <x:c r="B91" s="6"/>
      <x:c r="C91" s="6"/>
      <x:c r="D91" s="6"/>
      <x:c r="E91" s="6"/>
      <x:c r="F91" s="6"/>
      <x:c r="G91" s="6"/>
      <x:c r="H91" s="6"/>
      <x:c r="I91" s="6"/>
      <x:c r="J91" s="6"/>
      <x:c r="K91" s="6"/>
      <x:c r="L91" s="6"/>
    </x:row>
    <x:row r="92" ht="20" customHeight="1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</x:row>
    <x:row r="93" ht="20" customHeight="1">
      <x:c r="A93" s="6"/>
      <x:c r="B93" s="6"/>
      <x:c r="C93" s="6"/>
      <x:c r="D93" s="6"/>
      <x:c r="E93" s="6"/>
      <x:c r="F93" s="6"/>
      <x:c r="G93" s="6"/>
      <x:c r="H93" s="6"/>
      <x:c r="I93" s="6"/>
      <x:c r="J93" s="6"/>
      <x:c r="K93" s="6"/>
      <x:c r="L93" s="6"/>
    </x:row>
    <x:row r="94" ht="20" customHeight="1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</x:row>
    <x:row r="95" ht="20" customHeight="1">
      <x:c r="A95" s="6"/>
      <x:c r="B95" s="6"/>
      <x:c r="C95" s="6"/>
      <x:c r="D95" s="6"/>
      <x:c r="E95" s="6"/>
      <x:c r="F95" s="6"/>
      <x:c r="G95" s="6"/>
      <x:c r="H95" s="6"/>
      <x:c r="I95" s="6"/>
      <x:c r="J95" s="6"/>
      <x:c r="K95" s="6"/>
      <x:c r="L95" s="6"/>
    </x:row>
    <x:row r="96" ht="20" customHeight="1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</x:row>
    <x:row r="97" ht="20" customHeight="1">
      <x:c r="A97" s="6"/>
      <x:c r="B97" s="6"/>
      <x:c r="C97" s="6"/>
      <x:c r="D97" s="6"/>
      <x:c r="E97" s="6"/>
      <x:c r="F97" s="6"/>
      <x:c r="G97" s="6"/>
      <x:c r="H97" s="6"/>
      <x:c r="I97" s="6"/>
      <x:c r="J97" s="6"/>
      <x:c r="K97" s="6"/>
      <x:c r="L97" s="6"/>
    </x:row>
    <x:row r="98" ht="20" customHeight="1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</x:row>
    <x:row r="99" ht="20" customHeight="1">
      <x:c r="A99" s="6"/>
      <x:c r="B99" s="6"/>
      <x:c r="C99" s="6"/>
      <x:c r="D99" s="6"/>
      <x:c r="E99" s="6"/>
      <x:c r="F99" s="6"/>
      <x:c r="G99" s="6"/>
      <x:c r="H99" s="6"/>
      <x:c r="I99" s="6"/>
      <x:c r="J99" s="6"/>
      <x:c r="K99" s="6"/>
      <x:c r="L99" s="6"/>
    </x:row>
    <x:row r="100" ht="20" customHeight="1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</x:row>
    <x:row r="101" ht="20" customHeight="1">
      <x:c r="A101" s="6"/>
      <x:c r="B101" s="6"/>
      <x:c r="C101" s="6"/>
      <x:c r="D101" s="6"/>
      <x:c r="E101" s="6"/>
      <x:c r="F101" s="6"/>
      <x:c r="G101" s="6"/>
      <x:c r="H101" s="6"/>
      <x:c r="I101" s="6"/>
      <x:c r="J101" s="6"/>
      <x:c r="K101" s="6"/>
      <x:c r="L101" s="6"/>
    </x:row>
    <x:row r="102" ht="20" customHeight="1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</x:row>
    <x:row r="103" ht="20" customHeight="1">
      <x:c r="A103" s="6"/>
      <x:c r="B103" s="6"/>
      <x:c r="C103" s="6"/>
      <x:c r="D103" s="6"/>
      <x:c r="E103" s="6"/>
      <x:c r="F103" s="6"/>
      <x:c r="G103" s="6"/>
      <x:c r="H103" s="6"/>
      <x:c r="I103" s="6"/>
      <x:c r="J103" s="6"/>
      <x:c r="K103" s="6"/>
      <x:c r="L103" s="6"/>
    </x:row>
    <x:row r="104" ht="20" customHeight="1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</x:row>
    <x:row r="105" ht="20" customHeight="1">
      <x:c r="A105" s="6"/>
      <x:c r="B105" s="6"/>
      <x:c r="C105" s="6"/>
      <x:c r="D105" s="6"/>
      <x:c r="E105" s="6"/>
      <x:c r="F105" s="6"/>
      <x:c r="G105" s="6"/>
      <x:c r="H105" s="6"/>
      <x:c r="I105" s="6"/>
      <x:c r="J105" s="6"/>
      <x:c r="K105" s="6"/>
      <x:c r="L105" s="6"/>
    </x:row>
    <x:row r="106" ht="20" customHeight="1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</x:row>
    <x:row r="107" ht="20" customHeight="1">
      <x:c r="A107" s="6"/>
      <x:c r="B107" s="6"/>
      <x:c r="C107" s="6"/>
      <x:c r="D107" s="6"/>
      <x:c r="E107" s="6"/>
      <x:c r="F107" s="6"/>
      <x:c r="G107" s="6"/>
      <x:c r="H107" s="6"/>
      <x:c r="I107" s="6"/>
      <x:c r="J107" s="6"/>
      <x:c r="K107" s="6"/>
      <x:c r="L107" s="6"/>
    </x:row>
    <x:row r="108" ht="20" customHeight="1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</x:row>
    <x:row r="109" ht="20" customHeight="1">
      <x:c r="A109" s="6"/>
      <x:c r="B109" s="6"/>
      <x:c r="C109" s="6"/>
      <x:c r="D109" s="6"/>
      <x:c r="E109" s="6"/>
      <x:c r="F109" s="6"/>
      <x:c r="G109" s="6"/>
      <x:c r="H109" s="6"/>
      <x:c r="I109" s="6"/>
      <x:c r="J109" s="6"/>
      <x:c r="K109" s="6"/>
      <x:c r="L109" s="6"/>
    </x:row>
    <x:row r="110" ht="20" customHeight="1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</x:row>
    <x:row r="111" ht="20" customHeight="1">
      <x:c r="A111" s="6"/>
      <x:c r="B111" s="6"/>
      <x:c r="C111" s="6"/>
      <x:c r="D111" s="6"/>
      <x:c r="E111" s="6"/>
      <x:c r="F111" s="6"/>
      <x:c r="G111" s="6"/>
      <x:c r="H111" s="6"/>
      <x:c r="I111" s="6"/>
      <x:c r="J111" s="6"/>
      <x:c r="K111" s="6"/>
      <x:c r="L111" s="6"/>
    </x:row>
    <x:row r="112" ht="20" customHeight="1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</x:row>
    <x:row r="113" ht="20" customHeight="1">
      <x:c r="A113" s="6"/>
      <x:c r="B113" s="6"/>
      <x:c r="C113" s="6"/>
      <x:c r="D113" s="6"/>
      <x:c r="E113" s="6"/>
      <x:c r="F113" s="6"/>
      <x:c r="G113" s="6"/>
      <x:c r="H113" s="6"/>
      <x:c r="I113" s="6"/>
      <x:c r="J113" s="6"/>
      <x:c r="K113" s="6"/>
      <x:c r="L113" s="6"/>
    </x:row>
    <x:row r="114" ht="20" customHeight="1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</x:row>
    <x:row r="115" ht="20" customHeight="1">
      <x:c r="A115" s="6"/>
      <x:c r="B115" s="6"/>
      <x:c r="C115" s="6"/>
      <x:c r="D115" s="6"/>
      <x:c r="E115" s="6"/>
      <x:c r="F115" s="6"/>
      <x:c r="G115" s="6"/>
      <x:c r="H115" s="6"/>
      <x:c r="I115" s="6"/>
      <x:c r="J115" s="6"/>
      <x:c r="K115" s="6"/>
      <x:c r="L115" s="6"/>
    </x:row>
    <x:row r="116" ht="20" customHeight="1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</x:row>
    <x:row r="117" ht="20" customHeight="1">
      <x:c r="A117" s="6"/>
      <x:c r="B117" s="6"/>
      <x:c r="C117" s="6"/>
      <x:c r="D117" s="6"/>
      <x:c r="E117" s="6"/>
      <x:c r="F117" s="6"/>
      <x:c r="G117" s="6"/>
      <x:c r="H117" s="6"/>
      <x:c r="I117" s="6"/>
      <x:c r="J117" s="6"/>
      <x:c r="K117" s="6"/>
      <x:c r="L117" s="6"/>
    </x:row>
    <x:row r="118" ht="20" customHeight="1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</x:row>
    <x:row r="119" ht="20" customHeight="1">
      <x:c r="A119" s="6"/>
      <x:c r="B119" s="6"/>
      <x:c r="C119" s="6"/>
      <x:c r="D119" s="6"/>
      <x:c r="E119" s="6"/>
      <x:c r="F119" s="6"/>
      <x:c r="G119" s="6"/>
      <x:c r="H119" s="6"/>
      <x:c r="I119" s="6"/>
      <x:c r="J119" s="6"/>
      <x:c r="K119" s="6"/>
      <x:c r="L119" s="6"/>
    </x:row>
    <x:row r="120" ht="20" customHeight="1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</x:row>
    <x:row r="121" ht="20" customHeight="1">
      <x:c r="A121" s="6"/>
      <x:c r="B121" s="6"/>
      <x:c r="C121" s="6"/>
      <x:c r="D121" s="6"/>
      <x:c r="E121" s="6"/>
      <x:c r="F121" s="6"/>
      <x:c r="G121" s="6"/>
      <x:c r="H121" s="6"/>
      <x:c r="I121" s="6"/>
      <x:c r="J121" s="6"/>
      <x:c r="K121" s="6"/>
      <x:c r="L121" s="6"/>
    </x:row>
    <x:row r="122" ht="20" customHeight="1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</x:row>
    <x:row r="123" ht="20" customHeight="1">
      <x:c r="A123" s="6"/>
      <x:c r="B123" s="6"/>
      <x:c r="C123" s="6"/>
      <x:c r="D123" s="6"/>
      <x:c r="E123" s="6"/>
      <x:c r="F123" s="6"/>
      <x:c r="G123" s="6"/>
      <x:c r="H123" s="6"/>
      <x:c r="I123" s="6"/>
      <x:c r="J123" s="6"/>
      <x:c r="K123" s="6"/>
      <x:c r="L123" s="6"/>
    </x:row>
    <x:row r="124" ht="20" customHeight="1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</x:row>
    <x:row r="125" ht="20" customHeight="1">
      <x:c r="A125" s="6"/>
      <x:c r="B125" s="6"/>
      <x:c r="C125" s="6"/>
      <x:c r="D125" s="6"/>
      <x:c r="E125" s="6"/>
      <x:c r="F125" s="6"/>
      <x:c r="G125" s="6"/>
      <x:c r="H125" s="6"/>
      <x:c r="I125" s="6"/>
      <x:c r="J125" s="6"/>
      <x:c r="K125" s="6"/>
      <x:c r="L125" s="6"/>
    </x:row>
    <x:row r="126" ht="20" customHeight="1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</x:row>
    <x:row r="127" ht="20" customHeight="1">
      <x:c r="A127" s="6"/>
      <x:c r="B127" s="6"/>
      <x:c r="C127" s="6"/>
      <x:c r="D127" s="6"/>
      <x:c r="E127" s="6"/>
      <x:c r="F127" s="6"/>
      <x:c r="G127" s="6"/>
      <x:c r="H127" s="6"/>
      <x:c r="I127" s="6"/>
      <x:c r="J127" s="6"/>
      <x:c r="K127" s="6"/>
      <x:c r="L127" s="6"/>
    </x:row>
    <x:row r="128" ht="20" customHeight="1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</x:row>
    <x:row r="129" ht="20" customHeight="1">
      <x:c r="A129" s="6"/>
      <x:c r="B129" s="6"/>
      <x:c r="C129" s="6"/>
      <x:c r="D129" s="6"/>
      <x:c r="E129" s="6"/>
      <x:c r="F129" s="6"/>
      <x:c r="G129" s="6"/>
      <x:c r="H129" s="6"/>
      <x:c r="I129" s="6"/>
      <x:c r="J129" s="6"/>
      <x:c r="K129" s="6"/>
      <x:c r="L129" s="6"/>
    </x:row>
    <x:row r="130" ht="20" customHeight="1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</x:row>
    <x:row r="131" ht="20" customHeight="1">
      <x:c r="A131" s="6"/>
      <x:c r="B131" s="6"/>
      <x:c r="C131" s="6"/>
      <x:c r="D131" s="6"/>
      <x:c r="E131" s="6"/>
      <x:c r="F131" s="6"/>
      <x:c r="G131" s="6"/>
      <x:c r="H131" s="6"/>
      <x:c r="I131" s="6"/>
      <x:c r="J131" s="6"/>
      <x:c r="K131" s="6"/>
      <x:c r="L131" s="6"/>
    </x:row>
    <x:row r="132" ht="20" customHeight="1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</x:row>
    <x:row r="133" ht="20" customHeight="1">
      <x:c r="A133" s="6"/>
      <x:c r="B133" s="6"/>
      <x:c r="C133" s="6"/>
      <x:c r="D133" s="6"/>
      <x:c r="E133" s="6"/>
      <x:c r="F133" s="6"/>
      <x:c r="G133" s="6"/>
      <x:c r="H133" s="6"/>
      <x:c r="I133" s="6"/>
      <x:c r="J133" s="6"/>
      <x:c r="K133" s="6"/>
      <x:c r="L133" s="6"/>
    </x:row>
    <x:row r="134" ht="20" customHeight="1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</x:row>
    <x:row r="135" ht="20" customHeight="1">
      <x:c r="A135" s="6"/>
      <x:c r="B135" s="6"/>
      <x:c r="C135" s="6"/>
      <x:c r="D135" s="6"/>
      <x:c r="E135" s="6"/>
      <x:c r="F135" s="6"/>
      <x:c r="G135" s="6"/>
      <x:c r="H135" s="6"/>
      <x:c r="I135" s="6"/>
      <x:c r="J135" s="6"/>
      <x:c r="K135" s="6"/>
      <x:c r="L135" s="6"/>
    </x:row>
    <x:row r="136" ht="20" customHeight="1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</x:row>
    <x:row r="137" ht="20" customHeight="1">
      <x:c r="A137" s="6"/>
      <x:c r="B137" s="6"/>
      <x:c r="C137" s="6"/>
      <x:c r="D137" s="6"/>
      <x:c r="E137" s="6"/>
      <x:c r="F137" s="6"/>
      <x:c r="G137" s="6"/>
      <x:c r="H137" s="6"/>
      <x:c r="I137" s="6"/>
      <x:c r="J137" s="6"/>
      <x:c r="K137" s="6"/>
      <x:c r="L137" s="6"/>
    </x:row>
    <x:row r="138" ht="20" customHeight="1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</x:row>
    <x:row r="139" ht="20" customHeight="1">
      <x:c r="A139" s="6"/>
      <x:c r="B139" s="6"/>
      <x:c r="C139" s="6"/>
      <x:c r="D139" s="6"/>
      <x:c r="E139" s="6"/>
      <x:c r="F139" s="6"/>
      <x:c r="G139" s="6"/>
      <x:c r="H139" s="6"/>
      <x:c r="I139" s="6"/>
      <x:c r="J139" s="6"/>
      <x:c r="K139" s="6"/>
      <x:c r="L139" s="6"/>
    </x:row>
    <x:row r="140" ht="20" customHeight="1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</x:row>
    <x:row r="141" ht="20" customHeight="1">
      <x:c r="A141" s="6"/>
      <x:c r="B141" s="6"/>
      <x:c r="C141" s="6"/>
      <x:c r="D141" s="6"/>
      <x:c r="E141" s="6"/>
      <x:c r="F141" s="6"/>
      <x:c r="G141" s="6"/>
      <x:c r="H141" s="6"/>
      <x:c r="I141" s="6"/>
      <x:c r="J141" s="6"/>
      <x:c r="K141" s="6"/>
      <x:c r="L141" s="6"/>
    </x:row>
    <x:row r="142" ht="20" customHeight="1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</x:row>
    <x:row r="143" ht="20" customHeight="1">
      <x:c r="A143" s="6"/>
      <x:c r="B143" s="6"/>
      <x:c r="C143" s="6"/>
      <x:c r="D143" s="6"/>
      <x:c r="E143" s="6"/>
      <x:c r="F143" s="6"/>
      <x:c r="G143" s="6"/>
      <x:c r="H143" s="6"/>
      <x:c r="I143" s="6"/>
      <x:c r="J143" s="6"/>
      <x:c r="K143" s="6"/>
      <x:c r="L143" s="6"/>
    </x:row>
    <x:row r="144" ht="20" customHeight="1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</x:row>
    <x:row r="145" ht="20" customHeight="1">
      <x:c r="A145" s="6"/>
      <x:c r="B145" s="6"/>
      <x:c r="C145" s="6"/>
      <x:c r="D145" s="6"/>
      <x:c r="E145" s="6"/>
      <x:c r="F145" s="6"/>
      <x:c r="G145" s="6"/>
      <x:c r="H145" s="6"/>
      <x:c r="I145" s="6"/>
      <x:c r="J145" s="6"/>
      <x:c r="K145" s="6"/>
      <x:c r="L145" s="6"/>
    </x:row>
    <x:row r="146" ht="20" customHeight="1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</x:row>
    <x:row r="147" ht="20" customHeight="1">
      <x:c r="A147" s="6"/>
      <x:c r="B147" s="6"/>
      <x:c r="C147" s="6"/>
      <x:c r="D147" s="6"/>
      <x:c r="E147" s="6"/>
      <x:c r="F147" s="6"/>
      <x:c r="G147" s="6"/>
      <x:c r="H147" s="6"/>
      <x:c r="I147" s="6"/>
      <x:c r="J147" s="6"/>
      <x:c r="K147" s="6"/>
      <x:c r="L147" s="6"/>
    </x:row>
    <x:row r="148" ht="20" customHeight="1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</x:row>
    <x:row r="149" ht="20" customHeight="1">
      <x:c r="A149" s="6"/>
      <x:c r="B149" s="6"/>
      <x:c r="C149" s="6"/>
      <x:c r="D149" s="6"/>
      <x:c r="E149" s="6"/>
      <x:c r="F149" s="6"/>
      <x:c r="G149" s="6"/>
      <x:c r="H149" s="6"/>
      <x:c r="I149" s="6"/>
      <x:c r="J149" s="6"/>
      <x:c r="K149" s="6"/>
      <x:c r="L149" s="6"/>
    </x:row>
    <x:row r="150" ht="20" customHeight="1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</x:row>
    <x:row r="151" ht="20" customHeight="1">
      <x:c r="A151" s="6"/>
      <x:c r="B151" s="6"/>
      <x:c r="C151" s="6"/>
      <x:c r="D151" s="6"/>
      <x:c r="E151" s="6"/>
      <x:c r="F151" s="6"/>
      <x:c r="G151" s="6"/>
      <x:c r="H151" s="6"/>
      <x:c r="I151" s="6"/>
      <x:c r="J151" s="6"/>
      <x:c r="K151" s="6"/>
      <x:c r="L151" s="6"/>
    </x:row>
    <x:row r="152" ht="20" customHeight="1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</x:row>
    <x:row r="153" ht="20" customHeight="1">
      <x:c r="A153" s="6"/>
      <x:c r="B153" s="6"/>
      <x:c r="C153" s="6"/>
      <x:c r="D153" s="6"/>
      <x:c r="E153" s="6"/>
      <x:c r="F153" s="6"/>
      <x:c r="G153" s="6"/>
      <x:c r="H153" s="6"/>
      <x:c r="I153" s="6"/>
      <x:c r="J153" s="6"/>
      <x:c r="K153" s="6"/>
      <x:c r="L153" s="6"/>
    </x:row>
    <x:row r="154" ht="20" customHeight="1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</x:row>
    <x:row r="155" ht="20" customHeight="1">
      <x:c r="A155" s="6"/>
      <x:c r="B155" s="6"/>
      <x:c r="C155" s="6"/>
      <x:c r="D155" s="6"/>
      <x:c r="E155" s="6"/>
      <x:c r="F155" s="6"/>
      <x:c r="G155" s="6"/>
      <x:c r="H155" s="6"/>
      <x:c r="I155" s="6"/>
      <x:c r="J155" s="6"/>
      <x:c r="K155" s="6"/>
      <x:c r="L155" s="6"/>
    </x:row>
    <x:row r="156" ht="20" customHeight="1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</x:row>
    <x:row r="157" ht="20" customHeight="1">
      <x:c r="A157" s="6"/>
      <x:c r="B157" s="6"/>
      <x:c r="C157" s="6"/>
      <x:c r="D157" s="6"/>
      <x:c r="E157" s="6"/>
      <x:c r="F157" s="6"/>
      <x:c r="G157" s="6"/>
      <x:c r="H157" s="6"/>
      <x:c r="I157" s="6"/>
      <x:c r="J157" s="6"/>
      <x:c r="K157" s="6"/>
      <x:c r="L157" s="6"/>
    </x:row>
    <x:row r="158" ht="20" customHeight="1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</x:row>
    <x:row r="159" ht="20" customHeight="1">
      <x:c r="A159" s="6"/>
      <x:c r="B159" s="6"/>
      <x:c r="C159" s="6"/>
      <x:c r="D159" s="6"/>
      <x:c r="E159" s="6"/>
      <x:c r="F159" s="6"/>
      <x:c r="G159" s="6"/>
      <x:c r="H159" s="6"/>
      <x:c r="I159" s="6"/>
      <x:c r="J159" s="6"/>
      <x:c r="K159" s="6"/>
      <x:c r="L159" s="6"/>
    </x:row>
    <x:row r="160" ht="20" customHeight="1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</x:row>
  </x:sheetData>
  <x:mergeCells>
    <x:mergeCell ref="A1:L1"/>
    <x:mergeCell ref="A2:L2"/>
    <x:mergeCell ref="A4:D4"/>
    <x:mergeCell ref="C5:D5"/>
    <x:mergeCell ref="C6:D6"/>
    <x:mergeCell ref="C7:D7"/>
    <x:mergeCell ref="C8:D8"/>
    <x:mergeCell ref="C9:D9"/>
    <x:mergeCell ref="C10:D10"/>
    <x:mergeCell ref="A12:D12"/>
    <x:mergeCell ref="B13:C13"/>
    <x:mergeCell ref="B14:C14"/>
    <x:mergeCell ref="B15:C15"/>
    <x:mergeCell ref="B16:C16"/>
    <x:mergeCell ref="B17:C17"/>
    <x:mergeCell ref="B18:C18"/>
    <x:mergeCell ref="B19:C19"/>
    <x:mergeCell ref="A22:D22"/>
    <x:mergeCell ref="A46:D46"/>
    <x:mergeCell ref="B47:D47"/>
    <x:mergeCell ref="B48:D48"/>
    <x:mergeCell ref="B49:D49"/>
    <x:mergeCell ref="B50:D50"/>
    <x:mergeCell ref="B51:D51"/>
    <x:mergeCell ref="F22:Q22"/>
  </x:mergeCells>
  <x:pageMargins left="0.7" right="0.7" top="0.75" bottom="0.75" header="0.3" footer="0.3"/>
</x:worksheet>
</file>